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rs/Library/Mobile Documents/com~apple~CloudDocs/Teaching/CERBO/Finanzielle Führung/Excel Dateien/"/>
    </mc:Choice>
  </mc:AlternateContent>
  <xr:revisionPtr revIDLastSave="0" documentId="13_ncr:1_{2B769176-48B5-D54A-ACCD-C0CB6B5330DB}" xr6:coauthVersionLast="47" xr6:coauthVersionMax="47" xr10:uidLastSave="{00000000-0000-0000-0000-000000000000}"/>
  <bookViews>
    <workbookView xWindow="6300" yWindow="1580" windowWidth="37000" windowHeight="26460" xr2:uid="{5EB8AE10-B2D8-964F-B5D2-39BE754831CE}"/>
  </bookViews>
  <sheets>
    <sheet name="Finanzplan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1" i="6" l="1"/>
  <c r="I51" i="6"/>
  <c r="E61" i="6"/>
  <c r="F61" i="6"/>
  <c r="G61" i="6"/>
  <c r="H61" i="6"/>
  <c r="J61" i="6"/>
  <c r="K61" i="6"/>
  <c r="L61" i="6"/>
  <c r="M61" i="6"/>
  <c r="D61" i="6"/>
  <c r="E15" i="6"/>
  <c r="M48" i="6" s="1"/>
  <c r="E14" i="6"/>
  <c r="K47" i="6" s="1"/>
  <c r="D49" i="6"/>
  <c r="D55" i="6" s="1"/>
  <c r="M54" i="6"/>
  <c r="F47" i="6"/>
  <c r="G47" i="6"/>
  <c r="G49" i="6" s="1"/>
  <c r="G77" i="6" s="1"/>
  <c r="H47" i="6"/>
  <c r="F48" i="6"/>
  <c r="G48" i="6"/>
  <c r="H48" i="6"/>
  <c r="E48" i="6"/>
  <c r="E47" i="6"/>
  <c r="L54" i="6"/>
  <c r="K54" i="6"/>
  <c r="J54" i="6"/>
  <c r="F54" i="6"/>
  <c r="G54" i="6"/>
  <c r="H54" i="6"/>
  <c r="E54" i="6"/>
  <c r="E9" i="6"/>
  <c r="F9" i="6"/>
  <c r="G9" i="6"/>
  <c r="H9" i="6"/>
  <c r="I9" i="6"/>
  <c r="J9" i="6"/>
  <c r="K9" i="6"/>
  <c r="L9" i="6"/>
  <c r="M9" i="6"/>
  <c r="N9" i="6"/>
  <c r="D9" i="6"/>
  <c r="D54" i="6"/>
  <c r="G76" i="6" l="1"/>
  <c r="G70" i="6"/>
  <c r="G68" i="6"/>
  <c r="G67" i="6"/>
  <c r="I48" i="6"/>
  <c r="D70" i="6"/>
  <c r="M47" i="6"/>
  <c r="M49" i="6" s="1"/>
  <c r="J48" i="6"/>
  <c r="D67" i="6"/>
  <c r="L48" i="6"/>
  <c r="J47" i="6"/>
  <c r="K48" i="6"/>
  <c r="K49" i="6" s="1"/>
  <c r="L47" i="6"/>
  <c r="E49" i="6"/>
  <c r="E55" i="6" s="1"/>
  <c r="G50" i="6"/>
  <c r="G51" i="6" s="1"/>
  <c r="G55" i="6"/>
  <c r="F49" i="6"/>
  <c r="H49" i="6"/>
  <c r="N105" i="6"/>
  <c r="I105" i="6"/>
  <c r="M79" i="6"/>
  <c r="N79" i="6" s="1"/>
  <c r="L79" i="6"/>
  <c r="K79" i="6"/>
  <c r="J79" i="6"/>
  <c r="H79" i="6"/>
  <c r="I79" i="6" s="1"/>
  <c r="G79" i="6"/>
  <c r="F79" i="6"/>
  <c r="E79" i="6"/>
  <c r="D78" i="6"/>
  <c r="M75" i="6"/>
  <c r="N75" i="6" s="1"/>
  <c r="L75" i="6"/>
  <c r="K75" i="6"/>
  <c r="J75" i="6"/>
  <c r="J58" i="6" s="1"/>
  <c r="H75" i="6"/>
  <c r="H58" i="6" s="1"/>
  <c r="H89" i="6" s="1"/>
  <c r="H102" i="6" s="1"/>
  <c r="G75" i="6"/>
  <c r="G58" i="6" s="1"/>
  <c r="G89" i="6" s="1"/>
  <c r="G102" i="6" s="1"/>
  <c r="F75" i="6"/>
  <c r="F58" i="6" s="1"/>
  <c r="F89" i="6" s="1"/>
  <c r="F102" i="6" s="1"/>
  <c r="E75" i="6"/>
  <c r="E58" i="6" s="1"/>
  <c r="E89" i="6" s="1"/>
  <c r="M58" i="6"/>
  <c r="M89" i="6" s="1"/>
  <c r="M102" i="6" s="1"/>
  <c r="L58" i="6"/>
  <c r="L89" i="6" s="1"/>
  <c r="L102" i="6" s="1"/>
  <c r="K58" i="6"/>
  <c r="K89" i="6" s="1"/>
  <c r="K102" i="6" s="1"/>
  <c r="K70" i="6" l="1"/>
  <c r="K76" i="6"/>
  <c r="K77" i="6"/>
  <c r="K67" i="6"/>
  <c r="K68" i="6"/>
  <c r="M55" i="6"/>
  <c r="M77" i="6"/>
  <c r="M68" i="6"/>
  <c r="M70" i="6"/>
  <c r="M76" i="6"/>
  <c r="M67" i="6"/>
  <c r="H76" i="6"/>
  <c r="H77" i="6"/>
  <c r="H67" i="6"/>
  <c r="H68" i="6"/>
  <c r="H70" i="6"/>
  <c r="F77" i="6"/>
  <c r="F67" i="6"/>
  <c r="F68" i="6"/>
  <c r="F70" i="6"/>
  <c r="F76" i="6"/>
  <c r="L49" i="6"/>
  <c r="J49" i="6"/>
  <c r="J55" i="6" s="1"/>
  <c r="N48" i="6"/>
  <c r="K50" i="6"/>
  <c r="K51" i="6" s="1"/>
  <c r="K55" i="6"/>
  <c r="N47" i="6"/>
  <c r="M50" i="6"/>
  <c r="M51" i="6" s="1"/>
  <c r="H55" i="6"/>
  <c r="H50" i="6"/>
  <c r="H51" i="6" s="1"/>
  <c r="I49" i="6"/>
  <c r="F55" i="6"/>
  <c r="F50" i="6"/>
  <c r="F51" i="6" s="1"/>
  <c r="M103" i="6"/>
  <c r="F103" i="6"/>
  <c r="G103" i="6"/>
  <c r="E103" i="6"/>
  <c r="K103" i="6"/>
  <c r="D50" i="6"/>
  <c r="E102" i="6"/>
  <c r="I102" i="6" s="1"/>
  <c r="I89" i="6"/>
  <c r="N58" i="6"/>
  <c r="I58" i="6"/>
  <c r="J89" i="6"/>
  <c r="L103" i="6"/>
  <c r="H103" i="6"/>
  <c r="I75" i="6"/>
  <c r="J103" i="6" s="1"/>
  <c r="L55" i="6" l="1"/>
  <c r="L76" i="6"/>
  <c r="L77" i="6"/>
  <c r="L67" i="6"/>
  <c r="L68" i="6"/>
  <c r="L70" i="6"/>
  <c r="J50" i="6"/>
  <c r="J51" i="6" s="1"/>
  <c r="J68" i="6"/>
  <c r="J70" i="6"/>
  <c r="J76" i="6"/>
  <c r="J77" i="6"/>
  <c r="J67" i="6"/>
  <c r="L50" i="6"/>
  <c r="L51" i="6" s="1"/>
  <c r="N49" i="6"/>
  <c r="I103" i="6"/>
  <c r="D51" i="6"/>
  <c r="D57" i="6" s="1"/>
  <c r="D59" i="6" s="1"/>
  <c r="D60" i="6" s="1"/>
  <c r="D69" i="6"/>
  <c r="D72" i="6" s="1"/>
  <c r="D80" i="6" s="1"/>
  <c r="D81" i="6" s="1"/>
  <c r="D82" i="6" s="1"/>
  <c r="E53" i="6"/>
  <c r="N103" i="6"/>
  <c r="J102" i="6"/>
  <c r="N102" i="6" s="1"/>
  <c r="N89" i="6"/>
  <c r="G53" i="6" l="1"/>
  <c r="F53" i="6"/>
  <c r="E70" i="6" l="1"/>
  <c r="E95" i="6" s="1"/>
  <c r="E68" i="6"/>
  <c r="E93" i="6" s="1"/>
  <c r="E100" i="6"/>
  <c r="E77" i="6"/>
  <c r="E98" i="6" s="1"/>
  <c r="E67" i="6"/>
  <c r="E92" i="6" s="1"/>
  <c r="E50" i="6"/>
  <c r="E76" i="6"/>
  <c r="E97" i="6" s="1"/>
  <c r="E51" i="6" l="1"/>
  <c r="I47" i="6"/>
  <c r="I54" i="6"/>
  <c r="H53" i="6"/>
  <c r="E74" i="6"/>
  <c r="E69" i="6"/>
  <c r="E94" i="6" s="1"/>
  <c r="F100" i="6"/>
  <c r="F98" i="6"/>
  <c r="F92" i="6"/>
  <c r="F93" i="6"/>
  <c r="F97" i="6"/>
  <c r="F95" i="6"/>
  <c r="E56" i="6"/>
  <c r="E71" i="6" s="1"/>
  <c r="I53" i="6" l="1"/>
  <c r="G93" i="6"/>
  <c r="G100" i="6"/>
  <c r="G95" i="6"/>
  <c r="G97" i="6"/>
  <c r="G98" i="6"/>
  <c r="G92" i="6"/>
  <c r="E91" i="6"/>
  <c r="F56" i="6"/>
  <c r="F91" i="6" s="1"/>
  <c r="F69" i="6"/>
  <c r="F94" i="6" s="1"/>
  <c r="F74" i="6"/>
  <c r="E96" i="6"/>
  <c r="E78" i="6"/>
  <c r="E57" i="6"/>
  <c r="G69" i="6" l="1"/>
  <c r="G94" i="6" s="1"/>
  <c r="J53" i="6"/>
  <c r="F57" i="6"/>
  <c r="F59" i="6" s="1"/>
  <c r="F60" i="6" s="1"/>
  <c r="F88" i="6" s="1"/>
  <c r="F90" i="6" s="1"/>
  <c r="G74" i="6"/>
  <c r="G96" i="6" s="1"/>
  <c r="F71" i="6"/>
  <c r="G56" i="6" s="1"/>
  <c r="F96" i="6"/>
  <c r="F78" i="6"/>
  <c r="E59" i="6"/>
  <c r="I55" i="6"/>
  <c r="K53" i="6" l="1"/>
  <c r="G78" i="6"/>
  <c r="F99" i="6"/>
  <c r="F101" i="6" s="1"/>
  <c r="F104" i="6" s="1"/>
  <c r="F106" i="6" s="1"/>
  <c r="H100" i="6"/>
  <c r="I100" i="6" s="1"/>
  <c r="I50" i="6"/>
  <c r="J100" i="6"/>
  <c r="G91" i="6"/>
  <c r="G57" i="6"/>
  <c r="E60" i="6"/>
  <c r="G71" i="6"/>
  <c r="L53" i="6" l="1"/>
  <c r="E88" i="6"/>
  <c r="E80" i="6"/>
  <c r="H97" i="6"/>
  <c r="I97" i="6" s="1"/>
  <c r="I76" i="6"/>
  <c r="J97" i="6" s="1"/>
  <c r="K92" i="6"/>
  <c r="K97" i="6"/>
  <c r="K93" i="6"/>
  <c r="K100" i="6"/>
  <c r="K98" i="6"/>
  <c r="K95" i="6"/>
  <c r="H74" i="6"/>
  <c r="H69" i="6"/>
  <c r="N54" i="6"/>
  <c r="J69" i="6"/>
  <c r="J74" i="6"/>
  <c r="H93" i="6"/>
  <c r="I93" i="6" s="1"/>
  <c r="I68" i="6"/>
  <c r="J93" i="6" s="1"/>
  <c r="H56" i="6"/>
  <c r="G59" i="6"/>
  <c r="G60" i="6" s="1"/>
  <c r="G88" i="6" s="1"/>
  <c r="G90" i="6" s="1"/>
  <c r="G99" i="6" s="1"/>
  <c r="G101" i="6" s="1"/>
  <c r="G104" i="6" s="1"/>
  <c r="G106" i="6" s="1"/>
  <c r="I77" i="6"/>
  <c r="J98" i="6" s="1"/>
  <c r="H98" i="6"/>
  <c r="I98" i="6" s="1"/>
  <c r="H92" i="6"/>
  <c r="I92" i="6" s="1"/>
  <c r="I67" i="6"/>
  <c r="J92" i="6" s="1"/>
  <c r="H95" i="6"/>
  <c r="I95" i="6" s="1"/>
  <c r="I70" i="6"/>
  <c r="J95" i="6" s="1"/>
  <c r="M53" i="6" l="1"/>
  <c r="N53" i="6" s="1"/>
  <c r="E90" i="6"/>
  <c r="N55" i="6"/>
  <c r="F80" i="6"/>
  <c r="E81" i="6"/>
  <c r="E82" i="6" s="1"/>
  <c r="H91" i="6"/>
  <c r="I91" i="6" s="1"/>
  <c r="I56" i="6"/>
  <c r="I57" i="6" s="1"/>
  <c r="I61" i="6" s="1"/>
  <c r="H96" i="6"/>
  <c r="I96" i="6" s="1"/>
  <c r="H78" i="6"/>
  <c r="I74" i="6"/>
  <c r="I78" i="6" s="1"/>
  <c r="L97" i="6"/>
  <c r="L95" i="6"/>
  <c r="L93" i="6"/>
  <c r="L100" i="6"/>
  <c r="L98" i="6"/>
  <c r="L92" i="6"/>
  <c r="H71" i="6"/>
  <c r="I71" i="6" s="1"/>
  <c r="H57" i="6"/>
  <c r="J78" i="6"/>
  <c r="I69" i="6"/>
  <c r="J94" i="6" s="1"/>
  <c r="H94" i="6"/>
  <c r="I94" i="6" s="1"/>
  <c r="K69" i="6"/>
  <c r="K94" i="6" s="1"/>
  <c r="K74" i="6"/>
  <c r="J96" i="6" l="1"/>
  <c r="L74" i="6"/>
  <c r="L69" i="6"/>
  <c r="L94" i="6" s="1"/>
  <c r="J56" i="6"/>
  <c r="G80" i="6"/>
  <c r="F81" i="6"/>
  <c r="F82" i="6" s="1"/>
  <c r="M100" i="6"/>
  <c r="N100" i="6" s="1"/>
  <c r="N50" i="6"/>
  <c r="K78" i="6"/>
  <c r="K96" i="6"/>
  <c r="H59" i="6"/>
  <c r="I59" i="6" s="1"/>
  <c r="E99" i="6"/>
  <c r="M74" i="6" l="1"/>
  <c r="M69" i="6"/>
  <c r="N68" i="6"/>
  <c r="M93" i="6"/>
  <c r="N93" i="6" s="1"/>
  <c r="L78" i="6"/>
  <c r="L96" i="6"/>
  <c r="M97" i="6"/>
  <c r="N97" i="6" s="1"/>
  <c r="N76" i="6"/>
  <c r="G81" i="6"/>
  <c r="G82" i="6" s="1"/>
  <c r="E101" i="6"/>
  <c r="J91" i="6"/>
  <c r="J57" i="6"/>
  <c r="M92" i="6"/>
  <c r="N92" i="6" s="1"/>
  <c r="N67" i="6"/>
  <c r="N70" i="6"/>
  <c r="M95" i="6"/>
  <c r="N95" i="6" s="1"/>
  <c r="J71" i="6"/>
  <c r="H60" i="6"/>
  <c r="N77" i="6"/>
  <c r="M98" i="6"/>
  <c r="N98" i="6" s="1"/>
  <c r="M94" i="6" l="1"/>
  <c r="N94" i="6" s="1"/>
  <c r="N69" i="6"/>
  <c r="H88" i="6"/>
  <c r="I60" i="6"/>
  <c r="H80" i="6"/>
  <c r="M96" i="6"/>
  <c r="N96" i="6" s="1"/>
  <c r="M78" i="6"/>
  <c r="N74" i="6"/>
  <c r="N78" i="6" s="1"/>
  <c r="J59" i="6"/>
  <c r="J60" i="6" s="1"/>
  <c r="E104" i="6"/>
  <c r="K56" i="6"/>
  <c r="K71" i="6" s="1"/>
  <c r="J88" i="6" l="1"/>
  <c r="H90" i="6"/>
  <c r="I88" i="6"/>
  <c r="I80" i="6"/>
  <c r="H81" i="6"/>
  <c r="H82" i="6" s="1"/>
  <c r="L56" i="6"/>
  <c r="L71" i="6" s="1"/>
  <c r="K91" i="6"/>
  <c r="K57" i="6"/>
  <c r="E106" i="6"/>
  <c r="H99" i="6" l="1"/>
  <c r="I90" i="6"/>
  <c r="M56" i="6"/>
  <c r="K59" i="6"/>
  <c r="K60" i="6" s="1"/>
  <c r="L91" i="6"/>
  <c r="L57" i="6"/>
  <c r="E66" i="6"/>
  <c r="J80" i="6"/>
  <c r="I81" i="6"/>
  <c r="I82" i="6" s="1"/>
  <c r="J90" i="6"/>
  <c r="K88" i="6" l="1"/>
  <c r="K80" i="6"/>
  <c r="J81" i="6"/>
  <c r="J82" i="6" s="1"/>
  <c r="M91" i="6"/>
  <c r="N91" i="6" s="1"/>
  <c r="M57" i="6"/>
  <c r="N56" i="6"/>
  <c r="N57" i="6" s="1"/>
  <c r="N61" i="6" s="1"/>
  <c r="M71" i="6"/>
  <c r="N71" i="6" s="1"/>
  <c r="J99" i="6"/>
  <c r="E72" i="6"/>
  <c r="F66" i="6"/>
  <c r="L59" i="6"/>
  <c r="L60" i="6" s="1"/>
  <c r="L88" i="6" s="1"/>
  <c r="L90" i="6" s="1"/>
  <c r="L99" i="6" s="1"/>
  <c r="L101" i="6" s="1"/>
  <c r="L104" i="6" s="1"/>
  <c r="L106" i="6" s="1"/>
  <c r="H101" i="6"/>
  <c r="I99" i="6"/>
  <c r="F72" i="6" l="1"/>
  <c r="G66" i="6"/>
  <c r="L80" i="6"/>
  <c r="K81" i="6"/>
  <c r="K82" i="6" s="1"/>
  <c r="H104" i="6"/>
  <c r="I101" i="6"/>
  <c r="J101" i="6"/>
  <c r="M59" i="6"/>
  <c r="N59" i="6" s="1"/>
  <c r="K90" i="6"/>
  <c r="M60" i="6" l="1"/>
  <c r="M80" i="6" s="1"/>
  <c r="K99" i="6"/>
  <c r="J104" i="6"/>
  <c r="L81" i="6"/>
  <c r="L82" i="6" s="1"/>
  <c r="G72" i="6"/>
  <c r="H106" i="6"/>
  <c r="I106" i="6" s="1"/>
  <c r="I104" i="6"/>
  <c r="H66" i="6" l="1"/>
  <c r="I66" i="6" s="1"/>
  <c r="M88" i="6"/>
  <c r="N60" i="6"/>
  <c r="J106" i="6"/>
  <c r="N80" i="6"/>
  <c r="N81" i="6" s="1"/>
  <c r="N82" i="6" s="1"/>
  <c r="M81" i="6"/>
  <c r="M82" i="6" s="1"/>
  <c r="K101" i="6"/>
  <c r="H72" i="6" l="1"/>
  <c r="M90" i="6"/>
  <c r="N88" i="6"/>
  <c r="K104" i="6"/>
  <c r="I72" i="6"/>
  <c r="J66" i="6"/>
  <c r="M99" i="6" l="1"/>
  <c r="N90" i="6"/>
  <c r="J72" i="6"/>
  <c r="K106" i="6"/>
  <c r="M101" i="6" l="1"/>
  <c r="N99" i="6"/>
  <c r="K66" i="6"/>
  <c r="M104" i="6" l="1"/>
  <c r="N101" i="6"/>
  <c r="L66" i="6"/>
  <c r="K72" i="6"/>
  <c r="M106" i="6" l="1"/>
  <c r="N106" i="6" s="1"/>
  <c r="N104" i="6"/>
  <c r="L72" i="6"/>
  <c r="M66" i="6" l="1"/>
  <c r="M72" i="6" s="1"/>
  <c r="N66" i="6" l="1"/>
  <c r="N72" i="6" s="1"/>
</calcChain>
</file>

<file path=xl/sharedStrings.xml><?xml version="1.0" encoding="utf-8"?>
<sst xmlns="http://schemas.openxmlformats.org/spreadsheetml/2006/main" count="166" uniqueCount="107">
  <si>
    <t>Debitoren</t>
  </si>
  <si>
    <t>Lager</t>
  </si>
  <si>
    <t>Mobiles Anlagevermögen</t>
  </si>
  <si>
    <t>Kreditoren</t>
  </si>
  <si>
    <t>Kurzfristiges Fremdkapital</t>
  </si>
  <si>
    <t>Kreditoren MWST</t>
  </si>
  <si>
    <t>Passive Abgrenzungen</t>
  </si>
  <si>
    <t>Aktienkapital</t>
  </si>
  <si>
    <t>Reserven und Gewinnvortrag</t>
  </si>
  <si>
    <t>Eigenkapital</t>
  </si>
  <si>
    <t>Total Passiven</t>
  </si>
  <si>
    <t>Bruttogewinn</t>
  </si>
  <si>
    <t>EBIT</t>
  </si>
  <si>
    <t>Total</t>
  </si>
  <si>
    <t>Q1/2021</t>
  </si>
  <si>
    <t>Q2/2021</t>
  </si>
  <si>
    <t>Q3/2021</t>
  </si>
  <si>
    <t>Q4/2021</t>
  </si>
  <si>
    <t>Q1/2022</t>
  </si>
  <si>
    <t>Q2/2022</t>
  </si>
  <si>
    <t>Q3/2022</t>
  </si>
  <si>
    <t>Q4/2022</t>
  </si>
  <si>
    <t>PERSONALENTWICKLUNG</t>
  </si>
  <si>
    <t>Total 2021</t>
  </si>
  <si>
    <t>Total Umsatz</t>
  </si>
  <si>
    <t>Bruttomarge</t>
  </si>
  <si>
    <t>NOPLAT</t>
  </si>
  <si>
    <t>Total 2022</t>
  </si>
  <si>
    <t>Umsatz pro FTE Verkauf</t>
  </si>
  <si>
    <t>Umsatz pro FTE Service</t>
  </si>
  <si>
    <t>Personalkosten pro FTE</t>
  </si>
  <si>
    <t>- Materialaufwand</t>
  </si>
  <si>
    <t>- Personalaufwand</t>
  </si>
  <si>
    <t>- Abschreibungen</t>
  </si>
  <si>
    <t>- Steuern</t>
  </si>
  <si>
    <t>Freie flüssige Mittel</t>
  </si>
  <si>
    <t>Betriebliche flüssige Mittel</t>
  </si>
  <si>
    <t>Zahlungsfrist Debitoren (Tage)</t>
  </si>
  <si>
    <t>Verkaufstage an Lager</t>
  </si>
  <si>
    <t>Abschreibungsdauer (Jahre)</t>
  </si>
  <si>
    <t>Zahlungsfrist Kreditoren (Tage)</t>
  </si>
  <si>
    <t>Kurzfristiges FK</t>
  </si>
  <si>
    <t>Total Aktiven</t>
  </si>
  <si>
    <t>+ Finanzaufwand (nach Steuern)</t>
  </si>
  <si>
    <t>Finanzaufwand</t>
  </si>
  <si>
    <t>Reingewinn</t>
  </si>
  <si>
    <t>+ Abschreibungen</t>
  </si>
  <si>
    <t>- Anstieg Betriebliche FlüMi</t>
  </si>
  <si>
    <t>- Anstieg Debitoren</t>
  </si>
  <si>
    <t>- Anstieg Lager</t>
  </si>
  <si>
    <t>- Anstieg Abgrenzungen</t>
  </si>
  <si>
    <t>+ Anstieg Kreditoren</t>
  </si>
  <si>
    <t>+ Anstieg Kreditoren MWST</t>
  </si>
  <si>
    <t>+ Anstieg Passive Abgrenzungen</t>
  </si>
  <si>
    <t>Operativer Cashflow</t>
  </si>
  <si>
    <t>- Investitionen</t>
  </si>
  <si>
    <t>Free Cashflow</t>
  </si>
  <si>
    <t>- Zinsaufwand (nach Steuern)</t>
  </si>
  <si>
    <t>+ neues Fremdkapital</t>
  </si>
  <si>
    <t>Residual Cashflow</t>
  </si>
  <si>
    <t>Veränderung freie Mittel</t>
  </si>
  <si>
    <t>PLAN-ERFOLGSRECHNUNG</t>
  </si>
  <si>
    <t>PLAN-BILANZ</t>
  </si>
  <si>
    <t>PLAN-CASHFLOW-RECHNUNG</t>
  </si>
  <si>
    <t>ANNAHMEN</t>
  </si>
  <si>
    <t>Betriebliche Flüssige Mittel (% Q Umsatz)</t>
  </si>
  <si>
    <t>Aktive Abgrenzungen (% Q Umsatz)</t>
  </si>
  <si>
    <t>Mobiles Anlagevermögen (% Q Umsatz)</t>
  </si>
  <si>
    <t>Kreditoren MWST (% Q Umsatz)</t>
  </si>
  <si>
    <t>Passive Abgrenzungen (% Q Umsatz)</t>
  </si>
  <si>
    <t>Sonstiger Betriebsaufwand (% Umsatz)</t>
  </si>
  <si>
    <t>- Raumaufwand</t>
  </si>
  <si>
    <t>- Sonstiger Betriebsaufwand</t>
  </si>
  <si>
    <t>Investitionen (% Q Umsatz)</t>
  </si>
  <si>
    <t>Investitionen pro neuem FTE</t>
  </si>
  <si>
    <t>Langjähriger Durchschnitt</t>
  </si>
  <si>
    <t>Langjähriger Erfahrungswert</t>
  </si>
  <si>
    <t>Vertrag</t>
  </si>
  <si>
    <t>Durchschnittliche Abschreibungsdauer</t>
  </si>
  <si>
    <t>Zinssatz FK</t>
  </si>
  <si>
    <t>Annahme</t>
  </si>
  <si>
    <t>Standort 2</t>
  </si>
  <si>
    <t>Standort 3</t>
  </si>
  <si>
    <t>Hauptsitz</t>
  </si>
  <si>
    <t>Umsatz Verkauf</t>
  </si>
  <si>
    <t xml:space="preserve">Umsatz Service </t>
  </si>
  <si>
    <t xml:space="preserve">   Davon Verkauf (FTE mit Zielumsatz)</t>
  </si>
  <si>
    <t xml:space="preserve">   Davon Service (FTE mit Zielumsatz)</t>
  </si>
  <si>
    <t>Gewinnsteuersatz</t>
  </si>
  <si>
    <t>Aktive Rechnungsabgrenzunge</t>
  </si>
  <si>
    <t>Erwartungswert</t>
  </si>
  <si>
    <t>Kein Fremdkapital</t>
  </si>
  <si>
    <t>Erläuterung</t>
  </si>
  <si>
    <t>Wert</t>
  </si>
  <si>
    <t>Erfahrungswert</t>
  </si>
  <si>
    <t>BILANZ</t>
  </si>
  <si>
    <t>ERFOLGSRECHUNG</t>
  </si>
  <si>
    <t>Raumaufwand Hauptsitz</t>
  </si>
  <si>
    <t>Raumaufwand Standort 2</t>
  </si>
  <si>
    <t>Raumaufwand Standort 3</t>
  </si>
  <si>
    <t>Total Verbindlichkeiten</t>
  </si>
  <si>
    <t>- Asschüttung an Holding</t>
  </si>
  <si>
    <t>Base Case</t>
  </si>
  <si>
    <t>Bruttomarge tiefer (56% statt 58%)</t>
  </si>
  <si>
    <t>Umsatz tiefer (1.4M pro FTE statt 1.6M)</t>
  </si>
  <si>
    <t>Umsatz und Margen tiefer</t>
  </si>
  <si>
    <t>Szenarios Freie flüssige 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</si>
</sst>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0E8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indexed="64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3">
    <xf numFmtId="0" fontId="0" fillId="0" borderId="0" xfId="0"/>
    <xf numFmtId="3" fontId="0" fillId="0" borderId="0" xfId="0" applyNumberFormat="1"/>
    <xf numFmtId="9" fontId="0" fillId="0" borderId="0" xfId="0" applyNumberFormat="1"/>
    <xf numFmtId="0" fontId="1" fillId="0" borderId="0" xfId="0" applyFont="1"/>
    <xf numFmtId="0" fontId="0" fillId="0" borderId="0" xfId="0" applyFill="1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right"/>
    </xf>
    <xf numFmtId="3" fontId="1" fillId="0" borderId="2" xfId="0" applyNumberFormat="1" applyFont="1" applyBorder="1"/>
    <xf numFmtId="0" fontId="0" fillId="0" borderId="0" xfId="0" applyFill="1" applyAlignment="1"/>
    <xf numFmtId="0" fontId="1" fillId="0" borderId="5" xfId="0" applyFont="1" applyBorder="1"/>
    <xf numFmtId="0" fontId="0" fillId="0" borderId="6" xfId="0" quotePrefix="1" applyBorder="1"/>
    <xf numFmtId="0" fontId="1" fillId="0" borderId="6" xfId="0" applyFont="1" applyBorder="1"/>
    <xf numFmtId="165" fontId="0" fillId="0" borderId="0" xfId="0" applyNumberFormat="1"/>
    <xf numFmtId="0" fontId="1" fillId="0" borderId="2" xfId="0" applyFont="1" applyBorder="1" applyAlignment="1">
      <alignment horizontal="right"/>
    </xf>
    <xf numFmtId="3" fontId="1" fillId="0" borderId="0" xfId="0" applyNumberFormat="1" applyFont="1"/>
    <xf numFmtId="3" fontId="0" fillId="0" borderId="0" xfId="0" applyNumberFormat="1" applyFont="1" applyBorder="1" applyAlignment="1"/>
    <xf numFmtId="0" fontId="0" fillId="0" borderId="7" xfId="0" applyBorder="1"/>
    <xf numFmtId="0" fontId="0" fillId="0" borderId="4" xfId="0" applyBorder="1"/>
    <xf numFmtId="3" fontId="0" fillId="0" borderId="0" xfId="0" applyNumberFormat="1" applyBorder="1"/>
    <xf numFmtId="0" fontId="1" fillId="0" borderId="3" xfId="0" applyFont="1" applyBorder="1"/>
    <xf numFmtId="3" fontId="0" fillId="0" borderId="8" xfId="0" applyNumberFormat="1" applyBorder="1"/>
    <xf numFmtId="0" fontId="0" fillId="0" borderId="5" xfId="0" applyBorder="1"/>
    <xf numFmtId="0" fontId="0" fillId="0" borderId="0" xfId="0" applyBorder="1"/>
    <xf numFmtId="9" fontId="0" fillId="0" borderId="0" xfId="0" applyNumberFormat="1" applyBorder="1"/>
    <xf numFmtId="0" fontId="0" fillId="0" borderId="10" xfId="0" applyFill="1" applyBorder="1"/>
    <xf numFmtId="3" fontId="0" fillId="0" borderId="1" xfId="0" applyNumberFormat="1" applyFill="1" applyBorder="1"/>
    <xf numFmtId="3" fontId="0" fillId="0" borderId="11" xfId="0" applyNumberFormat="1" applyFill="1" applyBorder="1"/>
    <xf numFmtId="2" fontId="1" fillId="0" borderId="0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0" fontId="2" fillId="0" borderId="0" xfId="0" applyFont="1" applyBorder="1"/>
    <xf numFmtId="2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0" fontId="1" fillId="0" borderId="13" xfId="0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2" fontId="1" fillId="0" borderId="21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2" fontId="0" fillId="2" borderId="25" xfId="0" applyNumberForma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2" fontId="1" fillId="2" borderId="26" xfId="0" applyNumberFormat="1" applyFont="1" applyFill="1" applyBorder="1" applyAlignment="1">
      <alignment horizontal="center"/>
    </xf>
    <xf numFmtId="2" fontId="1" fillId="2" borderId="27" xfId="0" applyNumberFormat="1" applyFont="1" applyFill="1" applyBorder="1" applyAlignment="1">
      <alignment horizontal="center"/>
    </xf>
    <xf numFmtId="0" fontId="1" fillId="0" borderId="28" xfId="0" applyFont="1" applyBorder="1"/>
    <xf numFmtId="0" fontId="0" fillId="0" borderId="4" xfId="0" quotePrefix="1" applyBorder="1"/>
    <xf numFmtId="9" fontId="0" fillId="4" borderId="0" xfId="0" applyNumberFormat="1" applyFill="1" applyBorder="1"/>
    <xf numFmtId="3" fontId="0" fillId="4" borderId="0" xfId="0" applyNumberFormat="1" applyFill="1" applyBorder="1"/>
    <xf numFmtId="1" fontId="0" fillId="4" borderId="0" xfId="0" applyNumberFormat="1" applyFill="1" applyBorder="1"/>
    <xf numFmtId="0" fontId="0" fillId="4" borderId="0" xfId="0" applyFill="1" applyBorder="1"/>
    <xf numFmtId="166" fontId="0" fillId="4" borderId="0" xfId="0" applyNumberFormat="1" applyFill="1" applyBorder="1"/>
    <xf numFmtId="0" fontId="1" fillId="0" borderId="13" xfId="0" applyFont="1" applyBorder="1"/>
    <xf numFmtId="0" fontId="1" fillId="0" borderId="21" xfId="0" applyFont="1" applyBorder="1"/>
    <xf numFmtId="0" fontId="0" fillId="0" borderId="21" xfId="0" applyBorder="1"/>
    <xf numFmtId="3" fontId="0" fillId="4" borderId="21" xfId="0" applyNumberFormat="1" applyFill="1" applyBorder="1"/>
    <xf numFmtId="0" fontId="1" fillId="0" borderId="21" xfId="0" applyFont="1" applyFill="1" applyBorder="1"/>
    <xf numFmtId="0" fontId="1" fillId="0" borderId="18" xfId="0" applyFont="1" applyBorder="1"/>
    <xf numFmtId="3" fontId="0" fillId="4" borderId="18" xfId="0" applyNumberFormat="1" applyFill="1" applyBorder="1"/>
    <xf numFmtId="0" fontId="1" fillId="0" borderId="13" xfId="0" applyFont="1" applyBorder="1" applyAlignment="1">
      <alignment horizontal="right"/>
    </xf>
    <xf numFmtId="9" fontId="0" fillId="4" borderId="21" xfId="0" applyNumberFormat="1" applyFill="1" applyBorder="1"/>
    <xf numFmtId="0" fontId="1" fillId="0" borderId="13" xfId="0" applyFont="1" applyFill="1" applyBorder="1" applyAlignment="1"/>
    <xf numFmtId="0" fontId="1" fillId="0" borderId="18" xfId="0" applyFont="1" applyFill="1" applyBorder="1"/>
    <xf numFmtId="0" fontId="1" fillId="2" borderId="16" xfId="0" applyFont="1" applyFill="1" applyBorder="1" applyAlignment="1">
      <alignment horizontal="center"/>
    </xf>
    <xf numFmtId="2" fontId="0" fillId="2" borderId="24" xfId="0" applyNumberForma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1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10" xfId="0" applyFont="1" applyBorder="1"/>
    <xf numFmtId="3" fontId="1" fillId="0" borderId="1" xfId="0" applyNumberFormat="1" applyFont="1" applyBorder="1"/>
    <xf numFmtId="0" fontId="1" fillId="3" borderId="0" xfId="0" applyFont="1" applyFill="1" applyAlignment="1">
      <alignment horizontal="center"/>
    </xf>
    <xf numFmtId="0" fontId="0" fillId="0" borderId="18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1" xfId="0" applyNumberFormat="1" applyBorder="1"/>
    <xf numFmtId="0" fontId="1" fillId="5" borderId="5" xfId="0" applyFont="1" applyFill="1" applyBorder="1" applyAlignment="1">
      <alignment horizontal="right"/>
    </xf>
    <xf numFmtId="3" fontId="0" fillId="5" borderId="6" xfId="0" applyNumberFormat="1" applyFill="1" applyBorder="1"/>
    <xf numFmtId="3" fontId="0" fillId="5" borderId="31" xfId="0" applyNumberFormat="1" applyFill="1" applyBorder="1"/>
    <xf numFmtId="3" fontId="0" fillId="5" borderId="0" xfId="0" applyNumberFormat="1" applyFill="1" applyBorder="1"/>
    <xf numFmtId="3" fontId="0" fillId="5" borderId="1" xfId="0" applyNumberFormat="1" applyFill="1" applyBorder="1"/>
    <xf numFmtId="3" fontId="0" fillId="5" borderId="32" xfId="0" applyNumberFormat="1" applyFill="1" applyBorder="1"/>
    <xf numFmtId="3" fontId="0" fillId="5" borderId="11" xfId="0" applyNumberFormat="1" applyFill="1" applyBorder="1"/>
    <xf numFmtId="3" fontId="1" fillId="5" borderId="6" xfId="0" applyNumberFormat="1" applyFont="1" applyFill="1" applyBorder="1"/>
    <xf numFmtId="3" fontId="1" fillId="5" borderId="5" xfId="0" applyNumberFormat="1" applyFont="1" applyFill="1" applyBorder="1"/>
    <xf numFmtId="3" fontId="0" fillId="5" borderId="6" xfId="0" applyNumberFormat="1" applyFont="1" applyFill="1" applyBorder="1" applyAlignment="1"/>
    <xf numFmtId="3" fontId="0" fillId="5" borderId="6" xfId="0" applyNumberFormat="1" applyFont="1" applyFill="1" applyBorder="1" applyAlignment="1">
      <alignment horizontal="right"/>
    </xf>
    <xf numFmtId="3" fontId="0" fillId="5" borderId="9" xfId="0" applyNumberFormat="1" applyFill="1" applyBorder="1"/>
    <xf numFmtId="3" fontId="1" fillId="5" borderId="12" xfId="0" applyNumberFormat="1" applyFont="1" applyFill="1" applyBorder="1"/>
    <xf numFmtId="3" fontId="1" fillId="5" borderId="31" xfId="0" applyNumberFormat="1" applyFont="1" applyFill="1" applyBorder="1"/>
    <xf numFmtId="0" fontId="1" fillId="5" borderId="12" xfId="0" applyFont="1" applyFill="1" applyBorder="1" applyAlignment="1">
      <alignment horizontal="right"/>
    </xf>
    <xf numFmtId="0" fontId="1" fillId="5" borderId="14" xfId="0" applyFont="1" applyFill="1" applyBorder="1" applyAlignment="1">
      <alignment horizontal="right"/>
    </xf>
    <xf numFmtId="3" fontId="0" fillId="5" borderId="25" xfId="0" applyNumberFormat="1" applyFill="1" applyBorder="1"/>
    <xf numFmtId="3" fontId="1" fillId="5" borderId="14" xfId="0" applyNumberFormat="1" applyFont="1" applyFill="1" applyBorder="1"/>
    <xf numFmtId="3" fontId="1" fillId="5" borderId="29" xfId="0" applyNumberFormat="1" applyFont="1" applyFill="1" applyBorder="1"/>
    <xf numFmtId="3" fontId="0" fillId="5" borderId="25" xfId="1" applyNumberFormat="1" applyFont="1" applyFill="1" applyBorder="1"/>
    <xf numFmtId="3" fontId="1" fillId="5" borderId="30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AA81"/>
      <color rgb="FF75928E"/>
      <color rgb="FFDEC3B8"/>
      <color rgb="FF697386"/>
      <color rgb="FFFFF0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Freie flüssige Mittel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697386"/>
              </a:solidFill>
              <a:round/>
            </a:ln>
            <a:effectLst/>
          </c:spPr>
          <c:marker>
            <c:symbol val="none"/>
          </c:marker>
          <c:cat>
            <c:strRef>
              <c:f>(Finanzplan!$D$65:$H$65,Finanzplan!$J$65:$M$65)</c:f>
              <c:strCache>
                <c:ptCount val="9"/>
                <c:pt idx="0">
                  <c:v>2020</c:v>
                </c:pt>
                <c:pt idx="1">
                  <c:v>Q1/2021</c:v>
                </c:pt>
                <c:pt idx="2">
                  <c:v>Q2/2021</c:v>
                </c:pt>
                <c:pt idx="3">
                  <c:v>Q3/2021</c:v>
                </c:pt>
                <c:pt idx="4">
                  <c:v>Q4/2021</c:v>
                </c:pt>
                <c:pt idx="5">
                  <c:v>Q1/2022</c:v>
                </c:pt>
                <c:pt idx="6">
                  <c:v>Q2/2022</c:v>
                </c:pt>
                <c:pt idx="7">
                  <c:v>Q3/2022</c:v>
                </c:pt>
                <c:pt idx="8">
                  <c:v>Q4/2022</c:v>
                </c:pt>
              </c:strCache>
            </c:strRef>
          </c:cat>
          <c:val>
            <c:numRef>
              <c:f>(Finanzplan!$D$66:$H$66,Finanzplan!$J$66:$M$66)</c:f>
              <c:numCache>
                <c:formatCode>#,##0</c:formatCode>
                <c:ptCount val="9"/>
                <c:pt idx="0">
                  <c:v>296547</c:v>
                </c:pt>
                <c:pt idx="1">
                  <c:v>34520.62217948708</c:v>
                </c:pt>
                <c:pt idx="2">
                  <c:v>-174358.72928205144</c:v>
                </c:pt>
                <c:pt idx="3">
                  <c:v>-547580.77637564135</c:v>
                </c:pt>
                <c:pt idx="4">
                  <c:v>-815420.57983250031</c:v>
                </c:pt>
                <c:pt idx="5">
                  <c:v>-740582.0402960038</c:v>
                </c:pt>
                <c:pt idx="6">
                  <c:v>-327676.02122992184</c:v>
                </c:pt>
                <c:pt idx="7">
                  <c:v>174671.44193093316</c:v>
                </c:pt>
                <c:pt idx="8">
                  <c:v>570139.93563566846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CE-7F48-BEF4-CB521E12D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6392367"/>
        <c:axId val="1527727151"/>
      </c:lineChart>
      <c:catAx>
        <c:axId val="1526392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27727151"/>
        <c:crosses val="autoZero"/>
        <c:auto val="1"/>
        <c:lblAlgn val="ctr"/>
        <c:lblOffset val="100"/>
        <c:noMultiLvlLbl val="0"/>
      </c:catAx>
      <c:valAx>
        <c:axId val="152772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26392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Freie flüssige Mittel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Finanzplan!$C$113</c:f>
              <c:strCache>
                <c:ptCount val="1"/>
                <c:pt idx="0">
                  <c:v>Base Case</c:v>
                </c:pt>
              </c:strCache>
            </c:strRef>
          </c:tx>
          <c:spPr>
            <a:ln w="28575" cap="rnd">
              <a:solidFill>
                <a:srgbClr val="697386"/>
              </a:solidFill>
              <a:round/>
            </a:ln>
            <a:effectLst/>
          </c:spPr>
          <c:marker>
            <c:symbol val="none"/>
          </c:marker>
          <c:cat>
            <c:strRef>
              <c:f>(Finanzplan!$D$87:$H$87,Finanzplan!$J$87:$M$87)</c:f>
              <c:strCache>
                <c:ptCount val="9"/>
                <c:pt idx="0">
                  <c:v>2020</c:v>
                </c:pt>
                <c:pt idx="1">
                  <c:v>Q1/2021</c:v>
                </c:pt>
                <c:pt idx="2">
                  <c:v>Q2/2021</c:v>
                </c:pt>
                <c:pt idx="3">
                  <c:v>Q3/2021</c:v>
                </c:pt>
                <c:pt idx="4">
                  <c:v>Q4/2021</c:v>
                </c:pt>
                <c:pt idx="5">
                  <c:v>Q1/2022</c:v>
                </c:pt>
                <c:pt idx="6">
                  <c:v>Q2/2022</c:v>
                </c:pt>
                <c:pt idx="7">
                  <c:v>Q3/2022</c:v>
                </c:pt>
                <c:pt idx="8">
                  <c:v>Q4/2022</c:v>
                </c:pt>
              </c:strCache>
            </c:strRef>
          </c:cat>
          <c:val>
            <c:numRef>
              <c:f>(Finanzplan!$D$113:$H$113,Finanzplan!$J$113:$M$113)</c:f>
              <c:numCache>
                <c:formatCode>#,##0</c:formatCode>
                <c:ptCount val="9"/>
                <c:pt idx="0">
                  <c:v>296547</c:v>
                </c:pt>
                <c:pt idx="1">
                  <c:v>34520.62217948708</c:v>
                </c:pt>
                <c:pt idx="2">
                  <c:v>-174358.72928205144</c:v>
                </c:pt>
                <c:pt idx="3">
                  <c:v>-547580.77637564135</c:v>
                </c:pt>
                <c:pt idx="4">
                  <c:v>-815420.57983250031</c:v>
                </c:pt>
                <c:pt idx="5">
                  <c:v>-740582.0402960038</c:v>
                </c:pt>
                <c:pt idx="6">
                  <c:v>-327676.02122992184</c:v>
                </c:pt>
                <c:pt idx="7">
                  <c:v>174671.44193093316</c:v>
                </c:pt>
                <c:pt idx="8">
                  <c:v>570139.93563566846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62-E442-A3CB-EC7C9149F3BF}"/>
            </c:ext>
          </c:extLst>
        </c:ser>
        <c:ser>
          <c:idx val="1"/>
          <c:order val="1"/>
          <c:tx>
            <c:strRef>
              <c:f>Finanzplan!$C$114</c:f>
              <c:strCache>
                <c:ptCount val="1"/>
                <c:pt idx="0">
                  <c:v>Bruttomarge tiefer (56% statt 58%)</c:v>
                </c:pt>
              </c:strCache>
            </c:strRef>
          </c:tx>
          <c:spPr>
            <a:ln w="28575" cap="rnd">
              <a:solidFill>
                <a:srgbClr val="DEC3B8"/>
              </a:solidFill>
              <a:round/>
            </a:ln>
            <a:effectLst/>
          </c:spPr>
          <c:marker>
            <c:symbol val="none"/>
          </c:marker>
          <c:cat>
            <c:strRef>
              <c:f>(Finanzplan!$D$87:$H$87,Finanzplan!$J$87:$M$87)</c:f>
              <c:strCache>
                <c:ptCount val="9"/>
                <c:pt idx="0">
                  <c:v>2020</c:v>
                </c:pt>
                <c:pt idx="1">
                  <c:v>Q1/2021</c:v>
                </c:pt>
                <c:pt idx="2">
                  <c:v>Q2/2021</c:v>
                </c:pt>
                <c:pt idx="3">
                  <c:v>Q3/2021</c:v>
                </c:pt>
                <c:pt idx="4">
                  <c:v>Q4/2021</c:v>
                </c:pt>
                <c:pt idx="5">
                  <c:v>Q1/2022</c:v>
                </c:pt>
                <c:pt idx="6">
                  <c:v>Q2/2022</c:v>
                </c:pt>
                <c:pt idx="7">
                  <c:v>Q3/2022</c:v>
                </c:pt>
                <c:pt idx="8">
                  <c:v>Q4/2022</c:v>
                </c:pt>
              </c:strCache>
            </c:strRef>
          </c:cat>
          <c:val>
            <c:numRef>
              <c:f>(Finanzplan!$D$114:$H$114,Finanzplan!$J$114:$M$114)</c:f>
              <c:numCache>
                <c:formatCode>#,##0</c:formatCode>
                <c:ptCount val="9"/>
                <c:pt idx="0">
                  <c:v>296547</c:v>
                </c:pt>
                <c:pt idx="1">
                  <c:v>10759.024957265123</c:v>
                </c:pt>
                <c:pt idx="2">
                  <c:v>-227316.1598376066</c:v>
                </c:pt>
                <c:pt idx="3">
                  <c:v>-644185.4291534184</c:v>
                </c:pt>
                <c:pt idx="4">
                  <c:v>-960876.62149916624</c:v>
                </c:pt>
                <c:pt idx="5">
                  <c:v>-945890.51251822477</c:v>
                </c:pt>
                <c:pt idx="6">
                  <c:v>-593648.97261880944</c:v>
                </c:pt>
                <c:pt idx="7">
                  <c:v>-155693.48862462089</c:v>
                </c:pt>
                <c:pt idx="8">
                  <c:v>177195.00508011441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2-E442-A3CB-EC7C9149F3BF}"/>
            </c:ext>
          </c:extLst>
        </c:ser>
        <c:ser>
          <c:idx val="2"/>
          <c:order val="2"/>
          <c:tx>
            <c:strRef>
              <c:f>Finanzplan!$C$115</c:f>
              <c:strCache>
                <c:ptCount val="1"/>
                <c:pt idx="0">
                  <c:v>Umsatz tiefer (1.4M pro FTE statt 1.6M)</c:v>
                </c:pt>
              </c:strCache>
            </c:strRef>
          </c:tx>
          <c:spPr>
            <a:ln w="28575" cap="rnd">
              <a:solidFill>
                <a:srgbClr val="75928E"/>
              </a:solidFill>
              <a:round/>
            </a:ln>
            <a:effectLst/>
          </c:spPr>
          <c:marker>
            <c:symbol val="none"/>
          </c:marker>
          <c:cat>
            <c:strRef>
              <c:f>(Finanzplan!$D$87:$H$87,Finanzplan!$J$87:$M$87)</c:f>
              <c:strCache>
                <c:ptCount val="9"/>
                <c:pt idx="0">
                  <c:v>2020</c:v>
                </c:pt>
                <c:pt idx="1">
                  <c:v>Q1/2021</c:v>
                </c:pt>
                <c:pt idx="2">
                  <c:v>Q2/2021</c:v>
                </c:pt>
                <c:pt idx="3">
                  <c:v>Q3/2021</c:v>
                </c:pt>
                <c:pt idx="4">
                  <c:v>Q4/2021</c:v>
                </c:pt>
                <c:pt idx="5">
                  <c:v>Q1/2022</c:v>
                </c:pt>
                <c:pt idx="6">
                  <c:v>Q2/2022</c:v>
                </c:pt>
                <c:pt idx="7">
                  <c:v>Q3/2022</c:v>
                </c:pt>
                <c:pt idx="8">
                  <c:v>Q4/2022</c:v>
                </c:pt>
              </c:strCache>
            </c:strRef>
          </c:cat>
          <c:val>
            <c:numRef>
              <c:f>(Finanzplan!$D$115:$H$115,Finanzplan!$J$115:$M$115)</c:f>
              <c:numCache>
                <c:formatCode>#,##0</c:formatCode>
                <c:ptCount val="9"/>
                <c:pt idx="0">
                  <c:v>296547</c:v>
                </c:pt>
                <c:pt idx="1">
                  <c:v>76990.622179487254</c:v>
                </c:pt>
                <c:pt idx="2">
                  <c:v>-181868.89594871807</c:v>
                </c:pt>
                <c:pt idx="3">
                  <c:v>-600451.26804230793</c:v>
                </c:pt>
                <c:pt idx="4">
                  <c:v>-949289.21358250012</c:v>
                </c:pt>
                <c:pt idx="5">
                  <c:v>-969555.74235850363</c:v>
                </c:pt>
                <c:pt idx="6">
                  <c:v>-689159.53818929673</c:v>
                </c:pt>
                <c:pt idx="7">
                  <c:v>-329366.02418047329</c:v>
                </c:pt>
                <c:pt idx="8">
                  <c:v>-93929.657170167775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62-E442-A3CB-EC7C9149F3BF}"/>
            </c:ext>
          </c:extLst>
        </c:ser>
        <c:ser>
          <c:idx val="3"/>
          <c:order val="3"/>
          <c:tx>
            <c:strRef>
              <c:f>Finanzplan!$C$116</c:f>
              <c:strCache>
                <c:ptCount val="1"/>
                <c:pt idx="0">
                  <c:v>Umsatz und Margen tiefer</c:v>
                </c:pt>
              </c:strCache>
            </c:strRef>
          </c:tx>
          <c:spPr>
            <a:ln w="28575" cap="rnd">
              <a:solidFill>
                <a:srgbClr val="FFAA81"/>
              </a:solidFill>
              <a:round/>
            </a:ln>
            <a:effectLst/>
          </c:spPr>
          <c:marker>
            <c:symbol val="none"/>
          </c:marker>
          <c:cat>
            <c:strRef>
              <c:f>(Finanzplan!$D$87:$H$87,Finanzplan!$J$87:$M$87)</c:f>
              <c:strCache>
                <c:ptCount val="9"/>
                <c:pt idx="0">
                  <c:v>2020</c:v>
                </c:pt>
                <c:pt idx="1">
                  <c:v>Q1/2021</c:v>
                </c:pt>
                <c:pt idx="2">
                  <c:v>Q2/2021</c:v>
                </c:pt>
                <c:pt idx="3">
                  <c:v>Q3/2021</c:v>
                </c:pt>
                <c:pt idx="4">
                  <c:v>Q4/2021</c:v>
                </c:pt>
                <c:pt idx="5">
                  <c:v>Q1/2022</c:v>
                </c:pt>
                <c:pt idx="6">
                  <c:v>Q2/2022</c:v>
                </c:pt>
                <c:pt idx="7">
                  <c:v>Q3/2022</c:v>
                </c:pt>
                <c:pt idx="8">
                  <c:v>Q4/2022</c:v>
                </c:pt>
              </c:strCache>
            </c:strRef>
          </c:cat>
          <c:val>
            <c:numRef>
              <c:f>(Finanzplan!$D$116:$H$116,Finanzplan!$J$116:$M$116)</c:f>
              <c:numCache>
                <c:formatCode>#,##0</c:formatCode>
                <c:ptCount val="9"/>
                <c:pt idx="0">
                  <c:v>296547</c:v>
                </c:pt>
                <c:pt idx="1">
                  <c:v>56795.691623931751</c:v>
                </c:pt>
                <c:pt idx="2">
                  <c:v>-228265.21539316227</c:v>
                </c:pt>
                <c:pt idx="3">
                  <c:v>-685911.47637564107</c:v>
                </c:pt>
                <c:pt idx="4">
                  <c:v>-1078411.9219158331</c:v>
                </c:pt>
                <c:pt idx="5">
                  <c:v>-1152125.8812473917</c:v>
                </c:pt>
                <c:pt idx="6">
                  <c:v>-925889.98957818444</c:v>
                </c:pt>
                <c:pt idx="7">
                  <c:v>-623564.28806936077</c:v>
                </c:pt>
                <c:pt idx="8">
                  <c:v>-443987.9210590549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62-E442-A3CB-EC7C9149F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6392367"/>
        <c:axId val="1527727151"/>
      </c:lineChart>
      <c:catAx>
        <c:axId val="1526392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27727151"/>
        <c:crosses val="autoZero"/>
        <c:auto val="1"/>
        <c:lblAlgn val="ctr"/>
        <c:lblOffset val="100"/>
        <c:noMultiLvlLbl val="0"/>
      </c:catAx>
      <c:valAx>
        <c:axId val="152772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2639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641350</xdr:colOff>
      <xdr:row>18</xdr:row>
      <xdr:rowOff>177800</xdr:rowOff>
    </xdr:from>
    <xdr:to>
      <xdr:col>15</xdr:col>
      <xdr:colOff>55250</xdr:colOff>
      <xdr:row>38</xdr:row>
      <xdr:rowOff>82100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C063DC-AF99-B540-9D26-30F413ACE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2755900</xdr:colOff>
      <xdr:row>117</xdr:row>
      <xdr:rowOff>190500</xdr:rowOff>
    </xdr:from>
    <xdr:to>
      <xdr:col>10</xdr:col>
      <xdr:colOff>38100</xdr:colOff>
      <xdr:row>137</xdr:row>
      <xdr:rowOff>94800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52312B-2223-804C-8C37-097ED1F2D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F46E-B2AD-1C4E-A924-D7DFCC2C4B2E}">
  <dimension ref="B3:Q116"/>
  <sheetViews>
    <sheetView tabSelected="1" topLeftCell="A14" zoomScaleNormal="100" zoomScaleSheetLayoutView="319" workbookViewId="0">
      <selection activeCell="P57" sqref="P57"/>
    </sheetView>
  </sheetViews>
  <sheetFormatPr baseColWidth="10" defaultRowHeight="16" x14ac:dyDescent="0.2"/>
  <cols>
    <col min="2" max="2" width="3.83203125" customWidth="1"/>
    <col min="3" max="3" width="37.1640625" customWidth="1"/>
    <col min="4" max="4" width="12" bestFit="1" customWidth="1"/>
    <col min="5" max="7" width="11.1640625" bestFit="1" customWidth="1"/>
    <col min="8" max="10" width="12.33203125" bestFit="1" customWidth="1"/>
    <col min="11" max="14" width="11.1640625" bestFit="1" customWidth="1"/>
    <col min="15" max="15" width="4.5" customWidth="1"/>
  </cols>
  <sheetData>
    <row r="3" spans="2:15" x14ac:dyDescent="0.2">
      <c r="B3" s="77" t="s">
        <v>64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5" spans="2:15" x14ac:dyDescent="0.2">
      <c r="C5" s="58" t="s">
        <v>22</v>
      </c>
      <c r="D5" s="60">
        <v>2020</v>
      </c>
      <c r="E5" s="33" t="s">
        <v>14</v>
      </c>
      <c r="F5" s="33" t="s">
        <v>15</v>
      </c>
      <c r="G5" s="33" t="s">
        <v>16</v>
      </c>
      <c r="H5" s="33" t="s">
        <v>17</v>
      </c>
      <c r="I5" s="37" t="s">
        <v>23</v>
      </c>
      <c r="J5" s="33" t="s">
        <v>18</v>
      </c>
      <c r="K5" s="33" t="s">
        <v>19</v>
      </c>
      <c r="L5" s="33" t="s">
        <v>20</v>
      </c>
      <c r="M5" s="33" t="s">
        <v>21</v>
      </c>
      <c r="N5" s="65" t="s">
        <v>27</v>
      </c>
    </row>
    <row r="6" spans="2:15" x14ac:dyDescent="0.2">
      <c r="C6" s="30" t="s">
        <v>83</v>
      </c>
      <c r="D6" s="61">
        <v>10</v>
      </c>
      <c r="E6" s="31">
        <v>10</v>
      </c>
      <c r="F6" s="31">
        <v>11</v>
      </c>
      <c r="G6" s="31">
        <v>11</v>
      </c>
      <c r="H6" s="31">
        <v>12</v>
      </c>
      <c r="I6" s="38">
        <v>12</v>
      </c>
      <c r="J6" s="31">
        <v>12</v>
      </c>
      <c r="K6" s="31">
        <v>12</v>
      </c>
      <c r="L6" s="31">
        <v>12</v>
      </c>
      <c r="M6" s="31">
        <v>12</v>
      </c>
      <c r="N6" s="66">
        <v>12</v>
      </c>
    </row>
    <row r="7" spans="2:15" x14ac:dyDescent="0.2">
      <c r="C7" s="30" t="s">
        <v>81</v>
      </c>
      <c r="D7" s="61">
        <v>6</v>
      </c>
      <c r="E7" s="31">
        <v>8</v>
      </c>
      <c r="F7" s="31">
        <v>10</v>
      </c>
      <c r="G7" s="31">
        <v>10</v>
      </c>
      <c r="H7" s="31">
        <v>10</v>
      </c>
      <c r="I7" s="38">
        <v>10</v>
      </c>
      <c r="J7" s="31">
        <v>10</v>
      </c>
      <c r="K7" s="31">
        <v>10</v>
      </c>
      <c r="L7" s="31">
        <v>10</v>
      </c>
      <c r="M7" s="31">
        <v>10</v>
      </c>
      <c r="N7" s="66">
        <v>10</v>
      </c>
    </row>
    <row r="8" spans="2:15" x14ac:dyDescent="0.2">
      <c r="C8" s="32" t="s">
        <v>82</v>
      </c>
      <c r="D8" s="61">
        <v>0</v>
      </c>
      <c r="E8" s="31">
        <v>0</v>
      </c>
      <c r="F8" s="31">
        <v>7</v>
      </c>
      <c r="G8" s="31">
        <v>14</v>
      </c>
      <c r="H8" s="31">
        <v>15</v>
      </c>
      <c r="I8" s="38">
        <v>15</v>
      </c>
      <c r="J8" s="31">
        <v>15</v>
      </c>
      <c r="K8" s="31">
        <v>15</v>
      </c>
      <c r="L8" s="31">
        <v>15</v>
      </c>
      <c r="M8" s="31">
        <v>15</v>
      </c>
      <c r="N8" s="66">
        <v>15</v>
      </c>
    </row>
    <row r="9" spans="2:15" x14ac:dyDescent="0.2">
      <c r="C9" s="49" t="s">
        <v>13</v>
      </c>
      <c r="D9" s="62">
        <f>SUM(D6:D8)</f>
        <v>16</v>
      </c>
      <c r="E9" s="34">
        <f t="shared" ref="E9:N9" si="0">SUM(E6:E8)</f>
        <v>18</v>
      </c>
      <c r="F9" s="34">
        <f t="shared" si="0"/>
        <v>28</v>
      </c>
      <c r="G9" s="34">
        <f t="shared" si="0"/>
        <v>35</v>
      </c>
      <c r="H9" s="34">
        <f t="shared" si="0"/>
        <v>37</v>
      </c>
      <c r="I9" s="39">
        <f t="shared" si="0"/>
        <v>37</v>
      </c>
      <c r="J9" s="34">
        <f t="shared" si="0"/>
        <v>37</v>
      </c>
      <c r="K9" s="34">
        <f t="shared" si="0"/>
        <v>37</v>
      </c>
      <c r="L9" s="34">
        <f t="shared" si="0"/>
        <v>37</v>
      </c>
      <c r="M9" s="34">
        <f t="shared" si="0"/>
        <v>37</v>
      </c>
      <c r="N9" s="67">
        <f t="shared" si="0"/>
        <v>37</v>
      </c>
    </row>
    <row r="10" spans="2:15" s="4" customFormat="1" x14ac:dyDescent="0.2">
      <c r="C10" s="59" t="s">
        <v>86</v>
      </c>
      <c r="D10" s="63">
        <v>2</v>
      </c>
      <c r="E10" s="35">
        <v>3</v>
      </c>
      <c r="F10" s="35">
        <v>3.5</v>
      </c>
      <c r="G10" s="35">
        <v>5</v>
      </c>
      <c r="H10" s="35">
        <v>6</v>
      </c>
      <c r="I10" s="40">
        <v>6</v>
      </c>
      <c r="J10" s="35">
        <v>7</v>
      </c>
      <c r="K10" s="35">
        <v>7.5</v>
      </c>
      <c r="L10" s="35">
        <v>8</v>
      </c>
      <c r="M10" s="35">
        <v>8</v>
      </c>
      <c r="N10" s="68">
        <v>8</v>
      </c>
    </row>
    <row r="11" spans="2:15" s="4" customFormat="1" x14ac:dyDescent="0.2">
      <c r="C11" s="53" t="s">
        <v>87</v>
      </c>
      <c r="D11" s="64">
        <v>4</v>
      </c>
      <c r="E11" s="36">
        <v>6</v>
      </c>
      <c r="F11" s="36">
        <v>7</v>
      </c>
      <c r="G11" s="36">
        <v>9</v>
      </c>
      <c r="H11" s="36">
        <v>10</v>
      </c>
      <c r="I11" s="41">
        <v>10</v>
      </c>
      <c r="J11" s="36">
        <v>11</v>
      </c>
      <c r="K11" s="36">
        <v>11.5</v>
      </c>
      <c r="L11" s="36">
        <v>12</v>
      </c>
      <c r="M11" s="36">
        <v>12</v>
      </c>
      <c r="N11" s="69">
        <v>12</v>
      </c>
    </row>
    <row r="12" spans="2:15" s="4" customFormat="1" x14ac:dyDescent="0.2">
      <c r="C12" s="5"/>
      <c r="D12" s="6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2:15" x14ac:dyDescent="0.2">
      <c r="C13" s="70" t="s">
        <v>96</v>
      </c>
      <c r="D13" s="49">
        <v>2021</v>
      </c>
      <c r="E13" s="49">
        <v>2022</v>
      </c>
      <c r="F13" s="71" t="s">
        <v>92</v>
      </c>
      <c r="G13" s="72"/>
      <c r="H13" s="72"/>
    </row>
    <row r="14" spans="2:15" x14ac:dyDescent="0.2">
      <c r="C14" s="54" t="s">
        <v>28</v>
      </c>
      <c r="D14" s="55">
        <v>1600000</v>
      </c>
      <c r="E14" s="55">
        <f>D14*1.05</f>
        <v>1680000</v>
      </c>
      <c r="F14" s="78" t="s">
        <v>94</v>
      </c>
      <c r="G14" s="78"/>
      <c r="H14" s="78"/>
    </row>
    <row r="15" spans="2:15" x14ac:dyDescent="0.2">
      <c r="C15" s="50" t="s">
        <v>29</v>
      </c>
      <c r="D15" s="52">
        <v>175000</v>
      </c>
      <c r="E15" s="52">
        <f>D15*1.05</f>
        <v>183750</v>
      </c>
      <c r="F15" s="79" t="s">
        <v>94</v>
      </c>
      <c r="G15" s="79"/>
      <c r="H15" s="79"/>
    </row>
    <row r="16" spans="2:15" x14ac:dyDescent="0.2">
      <c r="F16" s="73"/>
      <c r="G16" s="73"/>
      <c r="H16" s="73"/>
    </row>
    <row r="17" spans="3:8" x14ac:dyDescent="0.2">
      <c r="C17" s="49"/>
      <c r="D17" s="56" t="s">
        <v>93</v>
      </c>
      <c r="E17" s="49"/>
      <c r="F17" s="71" t="s">
        <v>92</v>
      </c>
      <c r="G17" s="71"/>
      <c r="H17" s="71"/>
    </row>
    <row r="18" spans="3:8" x14ac:dyDescent="0.2">
      <c r="C18" s="23" t="s">
        <v>25</v>
      </c>
      <c r="D18" s="44">
        <v>0.57999999999999996</v>
      </c>
      <c r="E18" s="23"/>
      <c r="F18" s="78" t="s">
        <v>75</v>
      </c>
      <c r="G18" s="78"/>
      <c r="H18" s="78"/>
    </row>
    <row r="19" spans="3:8" x14ac:dyDescent="0.2">
      <c r="C19" s="23" t="s">
        <v>30</v>
      </c>
      <c r="D19" s="45">
        <v>115000</v>
      </c>
      <c r="E19" s="23"/>
      <c r="F19" s="80" t="s">
        <v>76</v>
      </c>
      <c r="G19" s="80"/>
      <c r="H19" s="80"/>
    </row>
    <row r="20" spans="3:8" x14ac:dyDescent="0.2">
      <c r="C20" s="23" t="s">
        <v>97</v>
      </c>
      <c r="D20" s="45">
        <v>225148</v>
      </c>
      <c r="E20" s="23"/>
      <c r="F20" s="80" t="s">
        <v>77</v>
      </c>
      <c r="G20" s="80"/>
      <c r="H20" s="80"/>
    </row>
    <row r="21" spans="3:8" x14ac:dyDescent="0.2">
      <c r="C21" s="23" t="s">
        <v>98</v>
      </c>
      <c r="D21" s="45">
        <v>33453</v>
      </c>
      <c r="E21" s="23"/>
      <c r="F21" s="80" t="s">
        <v>77</v>
      </c>
      <c r="G21" s="80"/>
      <c r="H21" s="80"/>
    </row>
    <row r="22" spans="3:8" x14ac:dyDescent="0.2">
      <c r="C22" s="23" t="s">
        <v>99</v>
      </c>
      <c r="D22" s="45">
        <v>39865</v>
      </c>
      <c r="E22" s="23"/>
      <c r="F22" s="80" t="s">
        <v>77</v>
      </c>
      <c r="G22" s="80"/>
      <c r="H22" s="80"/>
    </row>
    <row r="23" spans="3:8" x14ac:dyDescent="0.2">
      <c r="C23" s="23" t="s">
        <v>70</v>
      </c>
      <c r="D23" s="44">
        <v>0.08</v>
      </c>
      <c r="E23" s="23"/>
      <c r="F23" s="80" t="s">
        <v>76</v>
      </c>
      <c r="G23" s="80"/>
      <c r="H23" s="80"/>
    </row>
    <row r="24" spans="3:8" x14ac:dyDescent="0.2">
      <c r="C24" s="23" t="s">
        <v>39</v>
      </c>
      <c r="D24" s="46">
        <v>5</v>
      </c>
      <c r="E24" s="23"/>
      <c r="F24" s="80" t="s">
        <v>78</v>
      </c>
      <c r="G24" s="80"/>
      <c r="H24" s="80"/>
    </row>
    <row r="25" spans="3:8" x14ac:dyDescent="0.2">
      <c r="C25" s="23" t="s">
        <v>79</v>
      </c>
      <c r="D25" s="44">
        <v>0.01</v>
      </c>
      <c r="E25" s="23"/>
      <c r="F25" s="80" t="s">
        <v>80</v>
      </c>
      <c r="G25" s="80"/>
      <c r="H25" s="80"/>
    </row>
    <row r="26" spans="3:8" x14ac:dyDescent="0.2">
      <c r="C26" s="51" t="s">
        <v>88</v>
      </c>
      <c r="D26" s="57">
        <v>0.2</v>
      </c>
      <c r="E26" s="51"/>
      <c r="F26" s="79" t="s">
        <v>80</v>
      </c>
      <c r="G26" s="79"/>
      <c r="H26" s="79"/>
    </row>
    <row r="27" spans="3:8" x14ac:dyDescent="0.2">
      <c r="C27" s="23"/>
      <c r="D27" s="24"/>
      <c r="E27" s="23"/>
      <c r="F27" s="74"/>
      <c r="G27" s="74"/>
      <c r="H27" s="73"/>
    </row>
    <row r="28" spans="3:8" x14ac:dyDescent="0.2">
      <c r="C28" s="70" t="s">
        <v>95</v>
      </c>
      <c r="D28" s="56" t="s">
        <v>93</v>
      </c>
      <c r="E28" s="49"/>
      <c r="F28" s="71" t="s">
        <v>92</v>
      </c>
      <c r="G28" s="71"/>
      <c r="H28" s="71"/>
    </row>
    <row r="29" spans="3:8" x14ac:dyDescent="0.2">
      <c r="C29" s="23" t="s">
        <v>65</v>
      </c>
      <c r="D29" s="44">
        <v>0.25</v>
      </c>
      <c r="E29" s="23"/>
      <c r="F29" s="78" t="s">
        <v>80</v>
      </c>
      <c r="G29" s="78"/>
      <c r="H29" s="78"/>
    </row>
    <row r="30" spans="3:8" x14ac:dyDescent="0.2">
      <c r="C30" s="23" t="s">
        <v>37</v>
      </c>
      <c r="D30" s="46">
        <v>30</v>
      </c>
      <c r="E30" s="23"/>
      <c r="F30" s="80" t="s">
        <v>75</v>
      </c>
      <c r="G30" s="80"/>
      <c r="H30" s="80"/>
    </row>
    <row r="31" spans="3:8" x14ac:dyDescent="0.2">
      <c r="C31" s="23" t="s">
        <v>38</v>
      </c>
      <c r="D31" s="47">
        <v>50</v>
      </c>
      <c r="E31" s="23"/>
      <c r="F31" s="80" t="s">
        <v>75</v>
      </c>
      <c r="G31" s="80"/>
      <c r="H31" s="80"/>
    </row>
    <row r="32" spans="3:8" x14ac:dyDescent="0.2">
      <c r="C32" s="23" t="s">
        <v>66</v>
      </c>
      <c r="D32" s="44">
        <v>0.08</v>
      </c>
      <c r="E32" s="23"/>
      <c r="F32" s="80" t="s">
        <v>75</v>
      </c>
      <c r="G32" s="80"/>
      <c r="H32" s="80"/>
    </row>
    <row r="33" spans="2:15" x14ac:dyDescent="0.2">
      <c r="C33" s="23" t="s">
        <v>73</v>
      </c>
      <c r="D33" s="48">
        <v>0.02</v>
      </c>
      <c r="E33" s="23"/>
      <c r="F33" s="80" t="s">
        <v>75</v>
      </c>
      <c r="G33" s="80"/>
      <c r="H33" s="80"/>
    </row>
    <row r="34" spans="2:15" x14ac:dyDescent="0.2">
      <c r="C34" s="23" t="s">
        <v>74</v>
      </c>
      <c r="D34" s="45">
        <v>5000</v>
      </c>
      <c r="E34" s="23"/>
      <c r="F34" s="80" t="s">
        <v>90</v>
      </c>
      <c r="G34" s="80"/>
      <c r="H34" s="80"/>
    </row>
    <row r="35" spans="2:15" x14ac:dyDescent="0.2">
      <c r="C35" s="23" t="s">
        <v>67</v>
      </c>
      <c r="D35" s="44">
        <v>0.12</v>
      </c>
      <c r="E35" s="23"/>
      <c r="F35" s="80" t="s">
        <v>75</v>
      </c>
      <c r="G35" s="80"/>
      <c r="H35" s="80"/>
    </row>
    <row r="36" spans="2:15" x14ac:dyDescent="0.2">
      <c r="C36" s="23"/>
      <c r="D36" s="23"/>
      <c r="E36" s="23"/>
      <c r="F36" s="74"/>
      <c r="G36" s="74"/>
      <c r="H36" s="73"/>
    </row>
    <row r="37" spans="2:15" x14ac:dyDescent="0.2">
      <c r="C37" s="23" t="s">
        <v>40</v>
      </c>
      <c r="D37" s="47">
        <v>15</v>
      </c>
      <c r="E37" s="23"/>
      <c r="F37" s="80" t="s">
        <v>75</v>
      </c>
      <c r="G37" s="80"/>
      <c r="H37" s="80"/>
    </row>
    <row r="38" spans="2:15" x14ac:dyDescent="0.2">
      <c r="C38" s="23" t="s">
        <v>41</v>
      </c>
      <c r="D38" s="47">
        <v>0</v>
      </c>
      <c r="E38" s="23"/>
      <c r="F38" s="80" t="s">
        <v>91</v>
      </c>
      <c r="G38" s="80"/>
      <c r="H38" s="80"/>
    </row>
    <row r="39" spans="2:15" x14ac:dyDescent="0.2">
      <c r="C39" s="23" t="s">
        <v>68</v>
      </c>
      <c r="D39" s="44">
        <v>0.05</v>
      </c>
      <c r="E39" s="23"/>
      <c r="F39" s="80" t="s">
        <v>75</v>
      </c>
      <c r="G39" s="80"/>
      <c r="H39" s="80"/>
    </row>
    <row r="40" spans="2:15" x14ac:dyDescent="0.2">
      <c r="C40" s="23" t="s">
        <v>69</v>
      </c>
      <c r="D40" s="44">
        <v>0.1</v>
      </c>
      <c r="E40" s="23"/>
      <c r="F40" s="80" t="s">
        <v>75</v>
      </c>
      <c r="G40" s="80"/>
      <c r="H40" s="80"/>
    </row>
    <row r="41" spans="2:15" x14ac:dyDescent="0.2">
      <c r="C41" s="51" t="s">
        <v>7</v>
      </c>
      <c r="D41" s="52">
        <v>100000</v>
      </c>
      <c r="E41" s="51"/>
      <c r="F41" s="51"/>
      <c r="G41" s="51"/>
      <c r="H41" s="51"/>
    </row>
    <row r="42" spans="2:15" x14ac:dyDescent="0.2">
      <c r="D42" s="2"/>
    </row>
    <row r="43" spans="2:15" x14ac:dyDescent="0.2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5" x14ac:dyDescent="0.2">
      <c r="B44" s="77" t="s">
        <v>61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</row>
    <row r="45" spans="2:15" s="9" customFormat="1" x14ac:dyDescent="0.2"/>
    <row r="46" spans="2:15" x14ac:dyDescent="0.2">
      <c r="C46" s="42"/>
      <c r="D46" s="97">
        <v>2020</v>
      </c>
      <c r="E46" s="56" t="s">
        <v>14</v>
      </c>
      <c r="F46" s="56" t="s">
        <v>15</v>
      </c>
      <c r="G46" s="56" t="s">
        <v>16</v>
      </c>
      <c r="H46" s="56" t="s">
        <v>17</v>
      </c>
      <c r="I46" s="96" t="s">
        <v>23</v>
      </c>
      <c r="J46" s="56" t="s">
        <v>18</v>
      </c>
      <c r="K46" s="56" t="s">
        <v>19</v>
      </c>
      <c r="L46" s="56" t="s">
        <v>20</v>
      </c>
      <c r="M46" s="56" t="s">
        <v>21</v>
      </c>
      <c r="N46" s="96" t="s">
        <v>27</v>
      </c>
    </row>
    <row r="47" spans="2:15" x14ac:dyDescent="0.2">
      <c r="C47" s="18" t="s">
        <v>84</v>
      </c>
      <c r="D47" s="98">
        <v>3310629</v>
      </c>
      <c r="E47" s="1">
        <f>E10*$D$14/4</f>
        <v>1200000</v>
      </c>
      <c r="F47" s="1">
        <f>F10*$D$14/4</f>
        <v>1400000</v>
      </c>
      <c r="G47" s="1">
        <f>G10*$D$14/4</f>
        <v>2000000</v>
      </c>
      <c r="H47" s="1">
        <f>H10*$D$14/4</f>
        <v>2400000</v>
      </c>
      <c r="I47" s="83">
        <f>SUM(E47:H47)</f>
        <v>7000000</v>
      </c>
      <c r="J47" s="1">
        <f>J10*$E$14/4</f>
        <v>2940000</v>
      </c>
      <c r="K47" s="1">
        <f>K10*$E$14/4</f>
        <v>3150000</v>
      </c>
      <c r="L47" s="1">
        <f>L10*$E$14/4</f>
        <v>3360000</v>
      </c>
      <c r="M47" s="1">
        <f>M10*$E$14/4</f>
        <v>3360000</v>
      </c>
      <c r="N47" s="83">
        <f>SUM(J47:M47)</f>
        <v>12810000</v>
      </c>
    </row>
    <row r="48" spans="2:15" x14ac:dyDescent="0.2">
      <c r="C48" s="18" t="s">
        <v>85</v>
      </c>
      <c r="D48" s="98">
        <v>654196</v>
      </c>
      <c r="E48" s="1">
        <f>E11*$D$15/4</f>
        <v>262500</v>
      </c>
      <c r="F48" s="1">
        <f>F11*$D$15/4</f>
        <v>306250</v>
      </c>
      <c r="G48" s="1">
        <f>G11*$D$15/4</f>
        <v>393750</v>
      </c>
      <c r="H48" s="1">
        <f>H11*$D$15/4</f>
        <v>437500</v>
      </c>
      <c r="I48" s="83">
        <f t="shared" ref="I48:I49" si="1">SUM(E48:H48)</f>
        <v>1400000</v>
      </c>
      <c r="J48" s="1">
        <f>J11*$E$15/4</f>
        <v>505312.5</v>
      </c>
      <c r="K48" s="1">
        <f>K11*$E$15/4</f>
        <v>528281.25</v>
      </c>
      <c r="L48" s="1">
        <f>L11*$E$15/4</f>
        <v>551250</v>
      </c>
      <c r="M48" s="1">
        <f>M11*$E$15/4</f>
        <v>551250</v>
      </c>
      <c r="N48" s="83">
        <f t="shared" ref="N48:N49" si="2">SUM(J48:M48)</f>
        <v>2136093.75</v>
      </c>
    </row>
    <row r="49" spans="2:15" x14ac:dyDescent="0.2">
      <c r="C49" s="42" t="s">
        <v>24</v>
      </c>
      <c r="D49" s="99">
        <f>D47+D48</f>
        <v>3964825</v>
      </c>
      <c r="E49" s="29">
        <f>E47+E48</f>
        <v>1462500</v>
      </c>
      <c r="F49" s="29">
        <f t="shared" ref="F49:H49" si="3">F47+F48</f>
        <v>1706250</v>
      </c>
      <c r="G49" s="29">
        <f t="shared" si="3"/>
        <v>2393750</v>
      </c>
      <c r="H49" s="29">
        <f t="shared" si="3"/>
        <v>2837500</v>
      </c>
      <c r="I49" s="94">
        <f t="shared" si="1"/>
        <v>8400000</v>
      </c>
      <c r="J49" s="29">
        <f>J47+J48</f>
        <v>3445312.5</v>
      </c>
      <c r="K49" s="29">
        <f t="shared" ref="K49" si="4">K47+K48</f>
        <v>3678281.25</v>
      </c>
      <c r="L49" s="29">
        <f t="shared" ref="L49" si="5">L47+L48</f>
        <v>3911250</v>
      </c>
      <c r="M49" s="29">
        <f t="shared" ref="M49" si="6">M47+M48</f>
        <v>3911250</v>
      </c>
      <c r="N49" s="94">
        <f t="shared" si="2"/>
        <v>14946093.75</v>
      </c>
    </row>
    <row r="50" spans="2:15" x14ac:dyDescent="0.2">
      <c r="C50" s="43" t="s">
        <v>31</v>
      </c>
      <c r="D50" s="98">
        <f>D49*(1-$D$18)</f>
        <v>1665226.5000000002</v>
      </c>
      <c r="E50" s="1">
        <f>E49*(1-$D$18)</f>
        <v>614250.00000000012</v>
      </c>
      <c r="F50" s="1">
        <f t="shared" ref="F50:H50" si="7">F49*(1-$D$18)</f>
        <v>716625.00000000012</v>
      </c>
      <c r="G50" s="1">
        <f t="shared" si="7"/>
        <v>1005375.0000000001</v>
      </c>
      <c r="H50" s="1">
        <f t="shared" si="7"/>
        <v>1191750</v>
      </c>
      <c r="I50" s="83">
        <f>SUM(E50:H50)</f>
        <v>3528000.0000000005</v>
      </c>
      <c r="J50" s="1">
        <f>J49*(1-$D$18)</f>
        <v>1447031.2500000002</v>
      </c>
      <c r="K50" s="1">
        <f t="shared" ref="K50" si="8">K49*(1-$D$18)</f>
        <v>1544878.1250000002</v>
      </c>
      <c r="L50" s="1">
        <f t="shared" ref="L50" si="9">L49*(1-$D$18)</f>
        <v>1642725.0000000002</v>
      </c>
      <c r="M50" s="1">
        <f t="shared" ref="M50" si="10">M49*(1-$D$18)</f>
        <v>1642725.0000000002</v>
      </c>
      <c r="N50" s="83">
        <f>SUM(J50:M50)</f>
        <v>6277359.3750000009</v>
      </c>
    </row>
    <row r="51" spans="2:15" x14ac:dyDescent="0.2">
      <c r="C51" s="20" t="s">
        <v>11</v>
      </c>
      <c r="D51" s="100">
        <f>D49-D50</f>
        <v>2299598.5</v>
      </c>
      <c r="E51" s="8">
        <f>E49-E50</f>
        <v>848249.99999999988</v>
      </c>
      <c r="F51" s="8">
        <f t="shared" ref="F51:H51" si="11">F49-F50</f>
        <v>989624.99999999988</v>
      </c>
      <c r="G51" s="8">
        <f t="shared" si="11"/>
        <v>1388375</v>
      </c>
      <c r="H51" s="8">
        <f t="shared" si="11"/>
        <v>1645750</v>
      </c>
      <c r="I51" s="90">
        <f>I49-I50</f>
        <v>4872000</v>
      </c>
      <c r="J51" s="8">
        <f>J49-J50</f>
        <v>1998281.2499999998</v>
      </c>
      <c r="K51" s="8">
        <f t="shared" ref="K51" si="12">K49-K50</f>
        <v>2133403.125</v>
      </c>
      <c r="L51" s="8">
        <f t="shared" ref="L51" si="13">L49-L50</f>
        <v>2268525</v>
      </c>
      <c r="M51" s="8">
        <f t="shared" ref="M51" si="14">M49-M50</f>
        <v>2268525</v>
      </c>
      <c r="N51" s="90">
        <f>N49-N50</f>
        <v>8668734.375</v>
      </c>
    </row>
    <row r="52" spans="2:15" x14ac:dyDescent="0.2">
      <c r="C52" s="18"/>
      <c r="D52" s="101"/>
      <c r="E52" s="1"/>
      <c r="F52" s="1"/>
      <c r="G52" s="1"/>
      <c r="H52" s="1"/>
      <c r="I52" s="83"/>
      <c r="J52" s="1"/>
      <c r="K52" s="1"/>
      <c r="L52" s="1"/>
      <c r="M52" s="1"/>
      <c r="N52" s="83"/>
    </row>
    <row r="53" spans="2:15" x14ac:dyDescent="0.2">
      <c r="C53" s="43" t="s">
        <v>32</v>
      </c>
      <c r="D53" s="98">
        <v>1397469</v>
      </c>
      <c r="E53" s="1">
        <f>E9*$D$19/13*3</f>
        <v>477692.30769230763</v>
      </c>
      <c r="F53" s="1">
        <f>F9*$D$19/13*3</f>
        <v>743076.92307692301</v>
      </c>
      <c r="G53" s="1">
        <f>G9*$D$19/13*3</f>
        <v>928846.15384615387</v>
      </c>
      <c r="H53" s="1">
        <f>H9*$D$19/13*3+AVERAGE(E9:H9)*$D$19/13</f>
        <v>1242884.6153846155</v>
      </c>
      <c r="I53" s="83">
        <f>SUM(E53:H53)</f>
        <v>3392500</v>
      </c>
      <c r="J53" s="1">
        <f>J9*$D$19/13*3</f>
        <v>981923.07692307699</v>
      </c>
      <c r="K53" s="1">
        <f>K9*$D$19/13*3</f>
        <v>981923.07692307699</v>
      </c>
      <c r="L53" s="1">
        <f>L9*$D$19/13*3</f>
        <v>981923.07692307699</v>
      </c>
      <c r="M53" s="1">
        <f>M9*$D$19/13*3+AVERAGE(J9:M9)*$D$19/13</f>
        <v>1309230.7692307692</v>
      </c>
      <c r="N53" s="83">
        <f>SUM(J53:M53)</f>
        <v>4255000</v>
      </c>
    </row>
    <row r="54" spans="2:15" x14ac:dyDescent="0.2">
      <c r="C54" s="43" t="s">
        <v>71</v>
      </c>
      <c r="D54" s="98">
        <f>D20+0.25*D21</f>
        <v>233511.25</v>
      </c>
      <c r="E54" s="1">
        <f>IF(E6&gt;0,$D$20/4,0)+IF(E7&gt;0,$D$21/4,0)+IF(E8&gt;0,$D$22/4,0)</f>
        <v>64650.25</v>
      </c>
      <c r="F54" s="1">
        <f>IF(F6&gt;0,$D$20/4,0)+IF(F7&gt;0,$D$21/4,0)+IF(F8&gt;0,$D$22/4,0)</f>
        <v>74616.5</v>
      </c>
      <c r="G54" s="1">
        <f>IF(G6&gt;0,$D$20/4,0)+IF(G7&gt;0,$D$21/4,0)+IF(G8&gt;0,$D$22/4,0)</f>
        <v>74616.5</v>
      </c>
      <c r="H54" s="1">
        <f>IF(H6&gt;0,$D$20/4,0)+IF(H7&gt;0,$D$21/4,0)+IF(H8&gt;0,$D$22/4,0)</f>
        <v>74616.5</v>
      </c>
      <c r="I54" s="83">
        <f>SUM(E54:H54)</f>
        <v>288499.75</v>
      </c>
      <c r="J54" s="1">
        <f>IF(J6&gt;0,$D$20/4,0)+IF(J7&gt;0,$D$21/4,0)+IF(J8&gt;0,$D$22/4,0)</f>
        <v>74616.5</v>
      </c>
      <c r="K54" s="1">
        <f>IF(K6&gt;0,$D$20/4,0)+IF(K7&gt;0,$D$21/4,0)+IF(K8&gt;0,$D$22/4,0)</f>
        <v>74616.5</v>
      </c>
      <c r="L54" s="1">
        <f>IF(L6&gt;0,$D$20/4,0)+IF(L7&gt;0,$D$21/4,0)+IF(L8&gt;0,$D$22/4,0)</f>
        <v>74616.5</v>
      </c>
      <c r="M54" s="1">
        <f>IF(M6&gt;0,$D$20/4,0)+IF(M7&gt;0,$D$21/4,0)+IF(M8&gt;0,$D$22/4,0)</f>
        <v>74616.5</v>
      </c>
      <c r="N54" s="83">
        <f>SUM(J54:M54)</f>
        <v>298466</v>
      </c>
    </row>
    <row r="55" spans="2:15" x14ac:dyDescent="0.2">
      <c r="C55" s="43" t="s">
        <v>72</v>
      </c>
      <c r="D55" s="98">
        <f>D49*D23</f>
        <v>317186</v>
      </c>
      <c r="E55" s="1">
        <f t="shared" ref="E55:G55" si="15">E49*$D$23</f>
        <v>117000</v>
      </c>
      <c r="F55" s="1">
        <f t="shared" si="15"/>
        <v>136500</v>
      </c>
      <c r="G55" s="1">
        <f t="shared" si="15"/>
        <v>191500</v>
      </c>
      <c r="H55" s="1">
        <f>H49*$D$23</f>
        <v>227000</v>
      </c>
      <c r="I55" s="83">
        <f>SUM(E55:H55)</f>
        <v>672000</v>
      </c>
      <c r="J55" s="1">
        <f t="shared" ref="J55:L55" si="16">J49*$D$23</f>
        <v>275625</v>
      </c>
      <c r="K55" s="1">
        <f t="shared" si="16"/>
        <v>294262.5</v>
      </c>
      <c r="L55" s="1">
        <f t="shared" si="16"/>
        <v>312900</v>
      </c>
      <c r="M55" s="1">
        <f>M49*$D$23</f>
        <v>312900</v>
      </c>
      <c r="N55" s="83">
        <f>SUM(J55:M55)</f>
        <v>1195687.5</v>
      </c>
    </row>
    <row r="56" spans="2:15" x14ac:dyDescent="0.2">
      <c r="C56" s="43" t="s">
        <v>33</v>
      </c>
      <c r="D56" s="98">
        <v>5789</v>
      </c>
      <c r="E56" s="1">
        <f>(D71+E100)/4/$D$24</f>
        <v>8857.2999999999993</v>
      </c>
      <c r="F56" s="1">
        <f>(E71+F100)/4/$D$24</f>
        <v>12314.435000000001</v>
      </c>
      <c r="G56" s="1">
        <f>(F71+G100)/4/$D$24</f>
        <v>15448.713250000001</v>
      </c>
      <c r="H56" s="1">
        <f>(G71+H100)/4/$D$24</f>
        <v>17576.277587500001</v>
      </c>
      <c r="I56" s="83">
        <f>SUM(E56:H56)</f>
        <v>54196.725837500002</v>
      </c>
      <c r="J56" s="1">
        <f>(I71+J100)/4/$D$24</f>
        <v>19637.463708125</v>
      </c>
      <c r="K56" s="1">
        <f>(J71+K100)/4/$D$24</f>
        <v>21805.59052271875</v>
      </c>
      <c r="L56" s="1">
        <f>(K71+L100)/4/$D$24</f>
        <v>24075.310996582812</v>
      </c>
      <c r="M56" s="1">
        <f>(L71+M100)/4/$D$24</f>
        <v>26231.545446753677</v>
      </c>
      <c r="N56" s="83">
        <f>SUM(J56:M56)</f>
        <v>91749.910674180239</v>
      </c>
    </row>
    <row r="57" spans="2:15" x14ac:dyDescent="0.2">
      <c r="C57" s="20" t="s">
        <v>12</v>
      </c>
      <c r="D57" s="100">
        <f>D51-SUM(D53:D56)</f>
        <v>345643.25</v>
      </c>
      <c r="E57" s="8">
        <f>E51-SUM(E53:E56)</f>
        <v>180050.14230769221</v>
      </c>
      <c r="F57" s="8">
        <f t="shared" ref="F57:H57" si="17">F51-SUM(F53:F56)</f>
        <v>23117.141923076822</v>
      </c>
      <c r="G57" s="8">
        <f t="shared" si="17"/>
        <v>177963.63290384598</v>
      </c>
      <c r="H57" s="8">
        <f t="shared" si="17"/>
        <v>83672.607027884573</v>
      </c>
      <c r="I57" s="90">
        <f>I51-SUM(I53:I56)</f>
        <v>464803.52416250017</v>
      </c>
      <c r="J57" s="8">
        <f>J51-SUM(J53:J56)</f>
        <v>646479.20936879772</v>
      </c>
      <c r="K57" s="8">
        <f t="shared" ref="K57:M57" si="18">K51-SUM(K53:K56)</f>
        <v>760795.45755420416</v>
      </c>
      <c r="L57" s="8">
        <f t="shared" si="18"/>
        <v>875010.11208034027</v>
      </c>
      <c r="M57" s="8">
        <f t="shared" si="18"/>
        <v>545546.18532247702</v>
      </c>
      <c r="N57" s="90">
        <f>N51-SUM(N53:N56)</f>
        <v>2827830.9643258201</v>
      </c>
    </row>
    <row r="58" spans="2:15" x14ac:dyDescent="0.2">
      <c r="C58" s="18" t="s">
        <v>44</v>
      </c>
      <c r="D58" s="98"/>
      <c r="E58" s="1">
        <f>E75*$D$25/4</f>
        <v>0</v>
      </c>
      <c r="F58" s="1">
        <f t="shared" ref="F58:H58" si="19">F75*$D$25/4</f>
        <v>0</v>
      </c>
      <c r="G58" s="1">
        <f t="shared" si="19"/>
        <v>0</v>
      </c>
      <c r="H58" s="1">
        <f t="shared" si="19"/>
        <v>0</v>
      </c>
      <c r="I58" s="83">
        <f>SUM(E58:H58)</f>
        <v>0</v>
      </c>
      <c r="J58" s="1">
        <f>J75*$D$25/4</f>
        <v>0</v>
      </c>
      <c r="K58" s="1">
        <f t="shared" ref="K58:M58" si="20">K75*$D$25/4</f>
        <v>0</v>
      </c>
      <c r="L58" s="1">
        <f t="shared" si="20"/>
        <v>0</v>
      </c>
      <c r="M58" s="1">
        <f t="shared" si="20"/>
        <v>0</v>
      </c>
      <c r="N58" s="83">
        <f>SUM(J58:M58)</f>
        <v>0</v>
      </c>
    </row>
    <row r="59" spans="2:15" x14ac:dyDescent="0.2">
      <c r="C59" s="43" t="s">
        <v>34</v>
      </c>
      <c r="D59" s="98">
        <f>D57*$D$26</f>
        <v>69128.650000000009</v>
      </c>
      <c r="E59" s="1">
        <f>(E57-E58)*$D$26</f>
        <v>36010.028461538444</v>
      </c>
      <c r="F59" s="1">
        <f t="shared" ref="F59:H59" si="21">(F57-F58)*$D$26</f>
        <v>4623.4283846153648</v>
      </c>
      <c r="G59" s="1">
        <f t="shared" si="21"/>
        <v>35592.726580769195</v>
      </c>
      <c r="H59" s="1">
        <f t="shared" si="21"/>
        <v>16734.521405576914</v>
      </c>
      <c r="I59" s="83">
        <f>SUM(E59:H59)</f>
        <v>92960.70483249992</v>
      </c>
      <c r="J59" s="1">
        <f>(J57-J58)*$D$26</f>
        <v>129295.84187375955</v>
      </c>
      <c r="K59" s="1">
        <f t="shared" ref="K59:M59" si="22">(K57-K58)*$D$26</f>
        <v>152159.09151084084</v>
      </c>
      <c r="L59" s="1">
        <f t="shared" si="22"/>
        <v>175002.02241606807</v>
      </c>
      <c r="M59" s="1">
        <f t="shared" si="22"/>
        <v>109109.23706449541</v>
      </c>
      <c r="N59" s="83">
        <f>SUM(J59:M59)</f>
        <v>565566.1928651639</v>
      </c>
    </row>
    <row r="60" spans="2:15" x14ac:dyDescent="0.2">
      <c r="C60" s="20" t="s">
        <v>45</v>
      </c>
      <c r="D60" s="102">
        <f>D57-D59</f>
        <v>276514.59999999998</v>
      </c>
      <c r="E60" s="8">
        <f>E57-E58-E59</f>
        <v>144040.11384615378</v>
      </c>
      <c r="F60" s="8">
        <f t="shared" ref="F60:H60" si="23">F57-F58-F59</f>
        <v>18493.713538461459</v>
      </c>
      <c r="G60" s="8">
        <f t="shared" si="23"/>
        <v>142370.90632307678</v>
      </c>
      <c r="H60" s="8">
        <f t="shared" si="23"/>
        <v>66938.085622307655</v>
      </c>
      <c r="I60" s="90">
        <f>SUM(E60:H60)</f>
        <v>371842.81932999968</v>
      </c>
      <c r="J60" s="8">
        <f>J57-J58-J59</f>
        <v>517183.3674950382</v>
      </c>
      <c r="K60" s="8">
        <f t="shared" ref="K60:M60" si="24">K57-K58-K59</f>
        <v>608636.36604336335</v>
      </c>
      <c r="L60" s="8">
        <f t="shared" si="24"/>
        <v>700008.08966427227</v>
      </c>
      <c r="M60" s="8">
        <f t="shared" si="24"/>
        <v>436436.94825798162</v>
      </c>
      <c r="N60" s="90">
        <f>SUM(J60:M60)</f>
        <v>2262264.7714606556</v>
      </c>
    </row>
    <row r="61" spans="2:15" x14ac:dyDescent="0.2">
      <c r="D61">
        <f>D57/D47</f>
        <v>0.10440410266447857</v>
      </c>
      <c r="E61">
        <f t="shared" ref="E61:N61" si="25">E57/E47</f>
        <v>0.15004178525641018</v>
      </c>
      <c r="F61">
        <f t="shared" si="25"/>
        <v>1.651224423076916E-2</v>
      </c>
      <c r="G61">
        <f t="shared" si="25"/>
        <v>8.898181645192299E-2</v>
      </c>
      <c r="H61">
        <f t="shared" si="25"/>
        <v>3.4863586261618569E-2</v>
      </c>
      <c r="I61">
        <f t="shared" si="25"/>
        <v>6.6400503451785733E-2</v>
      </c>
      <c r="J61">
        <f t="shared" si="25"/>
        <v>0.21989088754040739</v>
      </c>
      <c r="K61">
        <f t="shared" si="25"/>
        <v>0.24152236747752512</v>
      </c>
      <c r="L61">
        <f t="shared" si="25"/>
        <v>0.260419676214387</v>
      </c>
      <c r="M61">
        <f t="shared" si="25"/>
        <v>0.16236493610788005</v>
      </c>
      <c r="N61">
        <f t="shared" si="25"/>
        <v>0.22075183171942389</v>
      </c>
    </row>
    <row r="62" spans="2:15" x14ac:dyDescent="0.2"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2:15" x14ac:dyDescent="0.2">
      <c r="B63" s="77" t="s">
        <v>62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</row>
    <row r="65" spans="3:17" x14ac:dyDescent="0.2">
      <c r="C65" s="22"/>
      <c r="D65" s="82">
        <v>2020</v>
      </c>
      <c r="E65" s="14" t="s">
        <v>14</v>
      </c>
      <c r="F65" s="14" t="s">
        <v>15</v>
      </c>
      <c r="G65" s="14" t="s">
        <v>16</v>
      </c>
      <c r="H65" s="14" t="s">
        <v>17</v>
      </c>
      <c r="I65" s="82" t="s">
        <v>23</v>
      </c>
      <c r="J65" s="14" t="s">
        <v>18</v>
      </c>
      <c r="K65" s="14" t="s">
        <v>19</v>
      </c>
      <c r="L65" s="14" t="s">
        <v>20</v>
      </c>
      <c r="M65" s="14" t="s">
        <v>21</v>
      </c>
      <c r="N65" s="82" t="s">
        <v>27</v>
      </c>
    </row>
    <row r="66" spans="3:17" x14ac:dyDescent="0.2">
      <c r="C66" s="18" t="s">
        <v>35</v>
      </c>
      <c r="D66" s="91">
        <v>296547</v>
      </c>
      <c r="E66" s="16">
        <f>D66+E106</f>
        <v>34520.62217948708</v>
      </c>
      <c r="F66" s="16">
        <f>E66+F106</f>
        <v>-174358.72928205144</v>
      </c>
      <c r="G66" s="16">
        <f>F66+G106</f>
        <v>-547580.77637564135</v>
      </c>
      <c r="H66" s="16">
        <f>G66+H106</f>
        <v>-815420.57983250031</v>
      </c>
      <c r="I66" s="91">
        <f>H66</f>
        <v>-815420.57983250031</v>
      </c>
      <c r="J66" s="16">
        <f>I66+J106</f>
        <v>-740582.0402960038</v>
      </c>
      <c r="K66" s="16">
        <f>J66+K106</f>
        <v>-327676.02122992184</v>
      </c>
      <c r="L66" s="16">
        <f>K66+L106</f>
        <v>174671.44193093316</v>
      </c>
      <c r="M66" s="16">
        <f>L66+M106</f>
        <v>570139.93563566846</v>
      </c>
      <c r="N66" s="91">
        <f>M66</f>
        <v>570139.93563566846</v>
      </c>
    </row>
    <row r="67" spans="3:17" x14ac:dyDescent="0.2">
      <c r="C67" s="18" t="s">
        <v>36</v>
      </c>
      <c r="D67" s="92">
        <f>D49*0.05</f>
        <v>198241.25</v>
      </c>
      <c r="E67" s="19">
        <f>$D$29*E49</f>
        <v>365625</v>
      </c>
      <c r="F67" s="19">
        <f t="shared" ref="F67:H67" si="26">$D$29*F49</f>
        <v>426562.5</v>
      </c>
      <c r="G67" s="19">
        <f t="shared" si="26"/>
        <v>598437.5</v>
      </c>
      <c r="H67" s="19">
        <f t="shared" si="26"/>
        <v>709375</v>
      </c>
      <c r="I67" s="83">
        <f>H67</f>
        <v>709375</v>
      </c>
      <c r="J67" s="19">
        <f>$D$29*J49</f>
        <v>861328.125</v>
      </c>
      <c r="K67" s="19">
        <f t="shared" ref="K67:M67" si="27">$D$29*K49</f>
        <v>919570.3125</v>
      </c>
      <c r="L67" s="19">
        <f t="shared" si="27"/>
        <v>977812.5</v>
      </c>
      <c r="M67" s="19">
        <f t="shared" si="27"/>
        <v>977812.5</v>
      </c>
      <c r="N67" s="83">
        <f t="shared" ref="N67:N70" si="28">M67</f>
        <v>977812.5</v>
      </c>
      <c r="Q67" s="1"/>
    </row>
    <row r="68" spans="3:17" x14ac:dyDescent="0.2">
      <c r="C68" s="18" t="s">
        <v>0</v>
      </c>
      <c r="D68" s="92">
        <v>342864</v>
      </c>
      <c r="E68" s="19">
        <f>E49/90*$D$30</f>
        <v>487500</v>
      </c>
      <c r="F68" s="19">
        <f t="shared" ref="F68:H68" si="29">F49/90*$D$30</f>
        <v>568750</v>
      </c>
      <c r="G68" s="19">
        <f t="shared" si="29"/>
        <v>797916.66666666663</v>
      </c>
      <c r="H68" s="19">
        <f t="shared" si="29"/>
        <v>945833.33333333337</v>
      </c>
      <c r="I68" s="83">
        <f t="shared" ref="I68:I71" si="30">H68</f>
        <v>945833.33333333337</v>
      </c>
      <c r="J68" s="19">
        <f>J49/90*$D$30</f>
        <v>1148437.5</v>
      </c>
      <c r="K68" s="19">
        <f t="shared" ref="K68:M68" si="31">K49/90*$D$30</f>
        <v>1226093.75</v>
      </c>
      <c r="L68" s="19">
        <f t="shared" si="31"/>
        <v>1303750</v>
      </c>
      <c r="M68" s="19">
        <f t="shared" si="31"/>
        <v>1303750</v>
      </c>
      <c r="N68" s="83">
        <f t="shared" si="28"/>
        <v>1303750</v>
      </c>
      <c r="Q68" s="1"/>
    </row>
    <row r="69" spans="3:17" x14ac:dyDescent="0.2">
      <c r="C69" s="18" t="s">
        <v>1</v>
      </c>
      <c r="D69" s="92">
        <f>D50/360*$D$31</f>
        <v>231281.45833333337</v>
      </c>
      <c r="E69" s="19">
        <f>E50/90*$D$31</f>
        <v>341250.00000000006</v>
      </c>
      <c r="F69" s="19">
        <f t="shared" ref="F69:H69" si="32">F50/90*$D$31</f>
        <v>398125.00000000006</v>
      </c>
      <c r="G69" s="19">
        <f t="shared" si="32"/>
        <v>558541.66666666674</v>
      </c>
      <c r="H69" s="19">
        <f t="shared" si="32"/>
        <v>662083.33333333326</v>
      </c>
      <c r="I69" s="83">
        <f t="shared" si="30"/>
        <v>662083.33333333326</v>
      </c>
      <c r="J69" s="19">
        <f>J50/90*$D$31</f>
        <v>803906.25000000012</v>
      </c>
      <c r="K69" s="19">
        <f t="shared" ref="K69:M69" si="33">K50/90*$D$31</f>
        <v>858265.62500000023</v>
      </c>
      <c r="L69" s="19">
        <f t="shared" si="33"/>
        <v>912625.00000000023</v>
      </c>
      <c r="M69" s="19">
        <f t="shared" si="33"/>
        <v>912625.00000000023</v>
      </c>
      <c r="N69" s="83">
        <f t="shared" si="28"/>
        <v>912625.00000000023</v>
      </c>
      <c r="Q69" s="1"/>
    </row>
    <row r="70" spans="3:17" x14ac:dyDescent="0.2">
      <c r="C70" s="18" t="s">
        <v>89</v>
      </c>
      <c r="D70" s="92">
        <f>D49*$D$32/4</f>
        <v>79296.5</v>
      </c>
      <c r="E70" s="19">
        <f>E49*$D$32</f>
        <v>117000</v>
      </c>
      <c r="F70" s="19">
        <f t="shared" ref="F70:H70" si="34">F49*$D$32</f>
        <v>136500</v>
      </c>
      <c r="G70" s="19">
        <f t="shared" si="34"/>
        <v>191500</v>
      </c>
      <c r="H70" s="19">
        <f t="shared" si="34"/>
        <v>227000</v>
      </c>
      <c r="I70" s="83">
        <f t="shared" si="30"/>
        <v>227000</v>
      </c>
      <c r="J70" s="19">
        <f>J49*$D$32</f>
        <v>275625</v>
      </c>
      <c r="K70" s="19">
        <f t="shared" ref="K70:M70" si="35">K49*$D$32</f>
        <v>294262.5</v>
      </c>
      <c r="L70" s="19">
        <f t="shared" si="35"/>
        <v>312900</v>
      </c>
      <c r="M70" s="19">
        <f t="shared" si="35"/>
        <v>312900</v>
      </c>
      <c r="N70" s="83">
        <f t="shared" si="28"/>
        <v>312900</v>
      </c>
    </row>
    <row r="71" spans="3:17" x14ac:dyDescent="0.2">
      <c r="C71" s="18" t="s">
        <v>2</v>
      </c>
      <c r="D71" s="83">
        <v>137896</v>
      </c>
      <c r="E71" s="19">
        <f>D71+E100-E56</f>
        <v>168288.7</v>
      </c>
      <c r="F71" s="19">
        <f>E71+F100-F56</f>
        <v>233974.26500000001</v>
      </c>
      <c r="G71" s="19">
        <f>F71+G100-G56</f>
        <v>293525.55174999998</v>
      </c>
      <c r="H71" s="19">
        <f>G71+H100-H56</f>
        <v>333949.27416249999</v>
      </c>
      <c r="I71" s="83">
        <f t="shared" si="30"/>
        <v>333949.27416249999</v>
      </c>
      <c r="J71" s="19">
        <f>I71+J100-J56</f>
        <v>373111.81045437499</v>
      </c>
      <c r="K71" s="19">
        <f>J71+K100-K56</f>
        <v>414306.21993165626</v>
      </c>
      <c r="L71" s="19">
        <f>K71+L100-L56</f>
        <v>457430.90893507347</v>
      </c>
      <c r="M71" s="19">
        <f>L71+M100-M56</f>
        <v>498399.36348831985</v>
      </c>
      <c r="N71" s="83">
        <f t="shared" ref="N71" si="36">M71</f>
        <v>498399.36348831985</v>
      </c>
    </row>
    <row r="72" spans="3:17" x14ac:dyDescent="0.2">
      <c r="C72" s="20" t="s">
        <v>42</v>
      </c>
      <c r="D72" s="90">
        <f t="shared" ref="D72:N72" si="37">SUM(D66:D71)</f>
        <v>1286126.2083333335</v>
      </c>
      <c r="E72" s="8">
        <f t="shared" si="37"/>
        <v>1514184.322179487</v>
      </c>
      <c r="F72" s="8">
        <f t="shared" si="37"/>
        <v>1589553.0357179488</v>
      </c>
      <c r="G72" s="8">
        <f t="shared" si="37"/>
        <v>1892340.608707692</v>
      </c>
      <c r="H72" s="8">
        <f t="shared" si="37"/>
        <v>2062820.3609966661</v>
      </c>
      <c r="I72" s="90">
        <f t="shared" si="37"/>
        <v>2062820.3609966661</v>
      </c>
      <c r="J72" s="8">
        <f t="shared" si="37"/>
        <v>2721826.6451583714</v>
      </c>
      <c r="K72" s="8">
        <f t="shared" si="37"/>
        <v>3384822.3862017347</v>
      </c>
      <c r="L72" s="8">
        <f t="shared" si="37"/>
        <v>4139189.8508660062</v>
      </c>
      <c r="M72" s="8">
        <f t="shared" si="37"/>
        <v>4575626.7991239885</v>
      </c>
      <c r="N72" s="90">
        <f t="shared" si="37"/>
        <v>4575626.7991239885</v>
      </c>
    </row>
    <row r="73" spans="3:17" x14ac:dyDescent="0.2"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7"/>
    </row>
    <row r="74" spans="3:17" x14ac:dyDescent="0.2">
      <c r="C74" s="17" t="s">
        <v>3</v>
      </c>
      <c r="D74" s="93">
        <v>89354</v>
      </c>
      <c r="E74" s="21">
        <f>(E50+E55)/90*$D$37</f>
        <v>121875.00000000001</v>
      </c>
      <c r="F74" s="21">
        <f>(F50+F55)/90*$D$37</f>
        <v>142187.50000000003</v>
      </c>
      <c r="G74" s="21">
        <f>(G50+G55)/90*$D$37</f>
        <v>199479.16666666666</v>
      </c>
      <c r="H74" s="21">
        <f>(H50+H55)/90*$D$37</f>
        <v>236458.33333333334</v>
      </c>
      <c r="I74" s="93">
        <f>H74</f>
        <v>236458.33333333334</v>
      </c>
      <c r="J74" s="21">
        <f>(J50+J55)/90*$D$37</f>
        <v>287109.37500000006</v>
      </c>
      <c r="K74" s="21">
        <f>(K50+K55)/90*$D$37</f>
        <v>306523.43750000006</v>
      </c>
      <c r="L74" s="21">
        <f>(L50+L55)/90*$D$37</f>
        <v>325937.5</v>
      </c>
      <c r="M74" s="21">
        <f>(M50+M55)/90*$D$37</f>
        <v>325937.5</v>
      </c>
      <c r="N74" s="93">
        <f>M74</f>
        <v>325937.5</v>
      </c>
    </row>
    <row r="75" spans="3:17" x14ac:dyDescent="0.2">
      <c r="C75" s="18" t="s">
        <v>4</v>
      </c>
      <c r="D75" s="83">
        <v>0</v>
      </c>
      <c r="E75" s="19">
        <f>$D$38</f>
        <v>0</v>
      </c>
      <c r="F75" s="19">
        <f t="shared" ref="F75:H75" si="38">$D$38</f>
        <v>0</v>
      </c>
      <c r="G75" s="19">
        <f t="shared" si="38"/>
        <v>0</v>
      </c>
      <c r="H75" s="19">
        <f t="shared" si="38"/>
        <v>0</v>
      </c>
      <c r="I75" s="83">
        <f t="shared" ref="I75:I77" si="39">H75</f>
        <v>0</v>
      </c>
      <c r="J75" s="19">
        <f>$D$38</f>
        <v>0</v>
      </c>
      <c r="K75" s="19">
        <f t="shared" ref="K75:M75" si="40">$D$38</f>
        <v>0</v>
      </c>
      <c r="L75" s="19">
        <f t="shared" si="40"/>
        <v>0</v>
      </c>
      <c r="M75" s="19">
        <f t="shared" si="40"/>
        <v>0</v>
      </c>
      <c r="N75" s="83">
        <f t="shared" ref="N75:N77" si="41">M75</f>
        <v>0</v>
      </c>
    </row>
    <row r="76" spans="3:17" x14ac:dyDescent="0.2">
      <c r="C76" s="18" t="s">
        <v>5</v>
      </c>
      <c r="D76" s="83">
        <v>58936</v>
      </c>
      <c r="E76" s="19">
        <f>E49*$D$39</f>
        <v>73125</v>
      </c>
      <c r="F76" s="19">
        <f t="shared" ref="F76:H76" si="42">F49*$D$39</f>
        <v>85312.5</v>
      </c>
      <c r="G76" s="19">
        <f t="shared" si="42"/>
        <v>119687.5</v>
      </c>
      <c r="H76" s="19">
        <f t="shared" si="42"/>
        <v>141875</v>
      </c>
      <c r="I76" s="83">
        <f t="shared" si="39"/>
        <v>141875</v>
      </c>
      <c r="J76" s="19">
        <f>J49*$D$39</f>
        <v>172265.625</v>
      </c>
      <c r="K76" s="19">
        <f t="shared" ref="K76:M76" si="43">K49*$D$39</f>
        <v>183914.0625</v>
      </c>
      <c r="L76" s="19">
        <f t="shared" si="43"/>
        <v>195562.5</v>
      </c>
      <c r="M76" s="19">
        <f t="shared" si="43"/>
        <v>195562.5</v>
      </c>
      <c r="N76" s="83">
        <f t="shared" si="41"/>
        <v>195562.5</v>
      </c>
    </row>
    <row r="77" spans="3:17" x14ac:dyDescent="0.2">
      <c r="C77" s="18" t="s">
        <v>6</v>
      </c>
      <c r="D77" s="83">
        <v>108942</v>
      </c>
      <c r="E77" s="19">
        <f>E49*$D$40</f>
        <v>146250</v>
      </c>
      <c r="F77" s="19">
        <f t="shared" ref="F77:H77" si="44">F49*$D$40</f>
        <v>170625</v>
      </c>
      <c r="G77" s="19">
        <f t="shared" si="44"/>
        <v>239375</v>
      </c>
      <c r="H77" s="19">
        <f t="shared" si="44"/>
        <v>283750</v>
      </c>
      <c r="I77" s="83">
        <f t="shared" si="39"/>
        <v>283750</v>
      </c>
      <c r="J77" s="19">
        <f>J49*$D$40</f>
        <v>344531.25</v>
      </c>
      <c r="K77" s="19">
        <f t="shared" ref="K77:M77" si="45">K49*$D$40</f>
        <v>367828.125</v>
      </c>
      <c r="L77" s="19">
        <f t="shared" si="45"/>
        <v>391125</v>
      </c>
      <c r="M77" s="19">
        <f t="shared" si="45"/>
        <v>391125</v>
      </c>
      <c r="N77" s="83">
        <f t="shared" si="41"/>
        <v>391125</v>
      </c>
    </row>
    <row r="78" spans="3:17" x14ac:dyDescent="0.2">
      <c r="C78" s="42" t="s">
        <v>100</v>
      </c>
      <c r="D78" s="94">
        <f>SUM(D74:D77)</f>
        <v>257232</v>
      </c>
      <c r="E78" s="29">
        <f t="shared" ref="E78:N78" si="46">SUM(E74:E77)</f>
        <v>341250</v>
      </c>
      <c r="F78" s="29">
        <f t="shared" si="46"/>
        <v>398125</v>
      </c>
      <c r="G78" s="29">
        <f t="shared" si="46"/>
        <v>558541.66666666663</v>
      </c>
      <c r="H78" s="29">
        <f t="shared" si="46"/>
        <v>662083.33333333337</v>
      </c>
      <c r="I78" s="94">
        <f t="shared" si="46"/>
        <v>662083.33333333337</v>
      </c>
      <c r="J78" s="29">
        <f t="shared" si="46"/>
        <v>803906.25</v>
      </c>
      <c r="K78" s="29">
        <f t="shared" si="46"/>
        <v>858265.625</v>
      </c>
      <c r="L78" s="29">
        <f t="shared" si="46"/>
        <v>912625</v>
      </c>
      <c r="M78" s="29">
        <f t="shared" si="46"/>
        <v>912625</v>
      </c>
      <c r="N78" s="94">
        <f t="shared" si="46"/>
        <v>912625</v>
      </c>
      <c r="Q78" s="1"/>
    </row>
    <row r="79" spans="3:17" x14ac:dyDescent="0.2">
      <c r="C79" s="18" t="s">
        <v>7</v>
      </c>
      <c r="D79" s="83">
        <v>100000</v>
      </c>
      <c r="E79" s="19">
        <f>$D$41</f>
        <v>100000</v>
      </c>
      <c r="F79" s="19">
        <f t="shared" ref="F79:M79" si="47">$D$41</f>
        <v>100000</v>
      </c>
      <c r="G79" s="19">
        <f t="shared" si="47"/>
        <v>100000</v>
      </c>
      <c r="H79" s="19">
        <f t="shared" si="47"/>
        <v>100000</v>
      </c>
      <c r="I79" s="83">
        <f>H79</f>
        <v>100000</v>
      </c>
      <c r="J79" s="19">
        <f t="shared" si="47"/>
        <v>100000</v>
      </c>
      <c r="K79" s="19">
        <f t="shared" si="47"/>
        <v>100000</v>
      </c>
      <c r="L79" s="19">
        <f t="shared" si="47"/>
        <v>100000</v>
      </c>
      <c r="M79" s="19">
        <f t="shared" si="47"/>
        <v>100000</v>
      </c>
      <c r="N79" s="83">
        <f>M79</f>
        <v>100000</v>
      </c>
    </row>
    <row r="80" spans="3:17" x14ac:dyDescent="0.2">
      <c r="C80" s="18" t="s">
        <v>8</v>
      </c>
      <c r="D80" s="83">
        <f>D72-D78-D79</f>
        <v>928894.20833333349</v>
      </c>
      <c r="E80" s="19">
        <f>D80+E60-E105</f>
        <v>1072934.3221794872</v>
      </c>
      <c r="F80" s="19">
        <f>E80+F60-F105</f>
        <v>1091428.0357179486</v>
      </c>
      <c r="G80" s="19">
        <f>F80+G60-G105</f>
        <v>1233798.9420410253</v>
      </c>
      <c r="H80" s="19">
        <f>G80+H60-H105</f>
        <v>1300737.0276633329</v>
      </c>
      <c r="I80" s="83">
        <f>H80</f>
        <v>1300737.0276633329</v>
      </c>
      <c r="J80" s="19">
        <f>I80+J60-J105</f>
        <v>1817920.395158371</v>
      </c>
      <c r="K80" s="19">
        <f>J80+K60-K105</f>
        <v>2426556.7612017342</v>
      </c>
      <c r="L80" s="19">
        <f>K80+L60-L105</f>
        <v>3126564.8508660067</v>
      </c>
      <c r="M80" s="19">
        <f>L80+M60-M105</f>
        <v>3563001.7991239885</v>
      </c>
      <c r="N80" s="83">
        <f>M80</f>
        <v>3563001.7991239885</v>
      </c>
    </row>
    <row r="81" spans="2:15" x14ac:dyDescent="0.2">
      <c r="C81" s="42" t="s">
        <v>9</v>
      </c>
      <c r="D81" s="94">
        <f>D79+D80</f>
        <v>1028894.2083333335</v>
      </c>
      <c r="E81" s="29">
        <f t="shared" ref="E81:N81" si="48">E79+E80</f>
        <v>1172934.3221794872</v>
      </c>
      <c r="F81" s="29">
        <f t="shared" si="48"/>
        <v>1191428.0357179486</v>
      </c>
      <c r="G81" s="29">
        <f t="shared" si="48"/>
        <v>1333798.9420410253</v>
      </c>
      <c r="H81" s="29">
        <f t="shared" si="48"/>
        <v>1400737.0276633329</v>
      </c>
      <c r="I81" s="94">
        <f t="shared" si="48"/>
        <v>1400737.0276633329</v>
      </c>
      <c r="J81" s="29">
        <f t="shared" si="48"/>
        <v>1917920.395158371</v>
      </c>
      <c r="K81" s="29">
        <f t="shared" si="48"/>
        <v>2526556.7612017342</v>
      </c>
      <c r="L81" s="29">
        <f t="shared" si="48"/>
        <v>3226564.8508660067</v>
      </c>
      <c r="M81" s="29">
        <f t="shared" si="48"/>
        <v>3663001.7991239885</v>
      </c>
      <c r="N81" s="94">
        <f t="shared" si="48"/>
        <v>3663001.7991239885</v>
      </c>
    </row>
    <row r="82" spans="2:15" x14ac:dyDescent="0.2">
      <c r="C82" s="75" t="s">
        <v>10</v>
      </c>
      <c r="D82" s="95">
        <f t="shared" ref="D82:N82" si="49">D81+D78</f>
        <v>1286126.2083333335</v>
      </c>
      <c r="E82" s="76">
        <f t="shared" si="49"/>
        <v>1514184.3221794872</v>
      </c>
      <c r="F82" s="76">
        <f t="shared" si="49"/>
        <v>1589553.0357179486</v>
      </c>
      <c r="G82" s="76">
        <f t="shared" si="49"/>
        <v>1892340.608707692</v>
      </c>
      <c r="H82" s="76">
        <f t="shared" si="49"/>
        <v>2062820.3609966664</v>
      </c>
      <c r="I82" s="95">
        <f t="shared" si="49"/>
        <v>2062820.3609966664</v>
      </c>
      <c r="J82" s="76">
        <f t="shared" si="49"/>
        <v>2721826.645158371</v>
      </c>
      <c r="K82" s="76">
        <f t="shared" si="49"/>
        <v>3384822.3862017342</v>
      </c>
      <c r="L82" s="76">
        <f t="shared" si="49"/>
        <v>4139189.8508660067</v>
      </c>
      <c r="M82" s="76">
        <f t="shared" si="49"/>
        <v>4575626.7991239885</v>
      </c>
      <c r="N82" s="95">
        <f t="shared" si="49"/>
        <v>4575626.7991239885</v>
      </c>
    </row>
    <row r="83" spans="2:15" x14ac:dyDescent="0.2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5" x14ac:dyDescent="0.2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5" x14ac:dyDescent="0.2">
      <c r="B85" s="77" t="s">
        <v>63</v>
      </c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</row>
    <row r="86" spans="2:15" x14ac:dyDescent="0.2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5" x14ac:dyDescent="0.2">
      <c r="C87" s="22"/>
      <c r="D87" s="82">
        <v>2020</v>
      </c>
      <c r="E87" s="14" t="s">
        <v>14</v>
      </c>
      <c r="F87" s="14" t="s">
        <v>15</v>
      </c>
      <c r="G87" s="14" t="s">
        <v>16</v>
      </c>
      <c r="H87" s="14" t="s">
        <v>17</v>
      </c>
      <c r="I87" s="82" t="s">
        <v>23</v>
      </c>
      <c r="J87" s="14" t="s">
        <v>18</v>
      </c>
      <c r="K87" s="14" t="s">
        <v>19</v>
      </c>
      <c r="L87" s="14" t="s">
        <v>20</v>
      </c>
      <c r="M87" s="14" t="s">
        <v>21</v>
      </c>
      <c r="N87" s="82" t="s">
        <v>27</v>
      </c>
    </row>
    <row r="88" spans="2:15" x14ac:dyDescent="0.2">
      <c r="C88" s="12" t="s">
        <v>45</v>
      </c>
      <c r="D88" s="89"/>
      <c r="E88" s="15">
        <f>E60</f>
        <v>144040.11384615378</v>
      </c>
      <c r="F88" s="15">
        <f>F60</f>
        <v>18493.713538461459</v>
      </c>
      <c r="G88" s="15">
        <f>G60</f>
        <v>142370.90632307678</v>
      </c>
      <c r="H88" s="15">
        <f>H60</f>
        <v>66938.085622307655</v>
      </c>
      <c r="I88" s="89">
        <f>SUM(E88:H88)</f>
        <v>371842.81932999968</v>
      </c>
      <c r="J88" s="15">
        <f>J60</f>
        <v>517183.3674950382</v>
      </c>
      <c r="K88" s="15">
        <f>K60</f>
        <v>608636.36604336335</v>
      </c>
      <c r="L88" s="15">
        <f>L60</f>
        <v>700008.08966427227</v>
      </c>
      <c r="M88" s="15">
        <f>M60</f>
        <v>436436.94825798162</v>
      </c>
      <c r="N88" s="89">
        <f>SUM(J88:M88)</f>
        <v>2262264.7714606556</v>
      </c>
    </row>
    <row r="89" spans="2:15" x14ac:dyDescent="0.2">
      <c r="C89" s="11" t="s">
        <v>43</v>
      </c>
      <c r="D89" s="83"/>
      <c r="E89" s="1">
        <f>E58*(1-$D$26)</f>
        <v>0</v>
      </c>
      <c r="F89" s="1">
        <f>F58*(1-$D$26)</f>
        <v>0</v>
      </c>
      <c r="G89" s="1">
        <f>G58*(1-$D$26)</f>
        <v>0</v>
      </c>
      <c r="H89" s="1">
        <f>H58*(1-$D$26)</f>
        <v>0</v>
      </c>
      <c r="I89" s="83">
        <f t="shared" ref="I89:I106" si="50">SUM(E89:H89)</f>
        <v>0</v>
      </c>
      <c r="J89" s="1">
        <f>J58*(1-$D$26)</f>
        <v>0</v>
      </c>
      <c r="K89" s="1">
        <f>K58*(1-$D$26)</f>
        <v>0</v>
      </c>
      <c r="L89" s="1">
        <f>L58*(1-$D$26)</f>
        <v>0</v>
      </c>
      <c r="M89" s="1">
        <f>M58*(1-$D$26)</f>
        <v>0</v>
      </c>
      <c r="N89" s="83">
        <f t="shared" ref="N89:N106" si="51">SUM(J89:M89)</f>
        <v>0</v>
      </c>
    </row>
    <row r="90" spans="2:15" x14ac:dyDescent="0.2">
      <c r="C90" s="10" t="s">
        <v>26</v>
      </c>
      <c r="D90" s="90"/>
      <c r="E90" s="8">
        <f>E88+E89</f>
        <v>144040.11384615378</v>
      </c>
      <c r="F90" s="8">
        <f t="shared" ref="F90:H90" si="52">F88+F89</f>
        <v>18493.713538461459</v>
      </c>
      <c r="G90" s="8">
        <f t="shared" si="52"/>
        <v>142370.90632307678</v>
      </c>
      <c r="H90" s="8">
        <f t="shared" si="52"/>
        <v>66938.085622307655</v>
      </c>
      <c r="I90" s="90">
        <f t="shared" si="50"/>
        <v>371842.81932999968</v>
      </c>
      <c r="J90" s="8">
        <f>J88+J89</f>
        <v>517183.3674950382</v>
      </c>
      <c r="K90" s="8">
        <f t="shared" ref="K90:M90" si="53">K88+K89</f>
        <v>608636.36604336335</v>
      </c>
      <c r="L90" s="8">
        <f t="shared" si="53"/>
        <v>700008.08966427227</v>
      </c>
      <c r="M90" s="8">
        <f t="shared" si="53"/>
        <v>436436.94825798162</v>
      </c>
      <c r="N90" s="90">
        <f t="shared" si="51"/>
        <v>2262264.7714606556</v>
      </c>
    </row>
    <row r="91" spans="2:15" x14ac:dyDescent="0.2">
      <c r="C91" s="11" t="s">
        <v>46</v>
      </c>
      <c r="D91" s="83"/>
      <c r="E91" s="1">
        <f>E56</f>
        <v>8857.2999999999993</v>
      </c>
      <c r="F91" s="1">
        <f>F56</f>
        <v>12314.435000000001</v>
      </c>
      <c r="G91" s="1">
        <f>G56</f>
        <v>15448.713250000001</v>
      </c>
      <c r="H91" s="1">
        <f>H56</f>
        <v>17576.277587500001</v>
      </c>
      <c r="I91" s="83">
        <f t="shared" si="50"/>
        <v>54196.725837500002</v>
      </c>
      <c r="J91" s="1">
        <f>J56</f>
        <v>19637.463708125</v>
      </c>
      <c r="K91" s="1">
        <f>K56</f>
        <v>21805.59052271875</v>
      </c>
      <c r="L91" s="1">
        <f>L56</f>
        <v>24075.310996582812</v>
      </c>
      <c r="M91" s="1">
        <f>M56</f>
        <v>26231.545446753677</v>
      </c>
      <c r="N91" s="83">
        <f t="shared" si="51"/>
        <v>91749.910674180239</v>
      </c>
    </row>
    <row r="92" spans="2:15" x14ac:dyDescent="0.2">
      <c r="C92" s="11" t="s">
        <v>47</v>
      </c>
      <c r="D92" s="83"/>
      <c r="E92" s="1">
        <f t="shared" ref="E92:H95" si="54">E67-D67</f>
        <v>167383.75</v>
      </c>
      <c r="F92" s="1">
        <f t="shared" si="54"/>
        <v>60937.5</v>
      </c>
      <c r="G92" s="1">
        <f t="shared" si="54"/>
        <v>171875</v>
      </c>
      <c r="H92" s="1">
        <f t="shared" si="54"/>
        <v>110937.5</v>
      </c>
      <c r="I92" s="83">
        <f t="shared" si="50"/>
        <v>511133.75</v>
      </c>
      <c r="J92" s="1">
        <f t="shared" ref="J92:M95" si="55">J67-I67</f>
        <v>151953.125</v>
      </c>
      <c r="K92" s="1">
        <f t="shared" si="55"/>
        <v>58242.1875</v>
      </c>
      <c r="L92" s="1">
        <f t="shared" si="55"/>
        <v>58242.1875</v>
      </c>
      <c r="M92" s="1">
        <f t="shared" si="55"/>
        <v>0</v>
      </c>
      <c r="N92" s="83">
        <f t="shared" si="51"/>
        <v>268437.5</v>
      </c>
    </row>
    <row r="93" spans="2:15" x14ac:dyDescent="0.2">
      <c r="C93" s="11" t="s">
        <v>48</v>
      </c>
      <c r="D93" s="83"/>
      <c r="E93" s="1">
        <f t="shared" si="54"/>
        <v>144636</v>
      </c>
      <c r="F93" s="1">
        <f t="shared" si="54"/>
        <v>81250</v>
      </c>
      <c r="G93" s="1">
        <f t="shared" si="54"/>
        <v>229166.66666666663</v>
      </c>
      <c r="H93" s="1">
        <f t="shared" si="54"/>
        <v>147916.66666666674</v>
      </c>
      <c r="I93" s="83">
        <f t="shared" si="50"/>
        <v>602969.33333333337</v>
      </c>
      <c r="J93" s="1">
        <f t="shared" si="55"/>
        <v>202604.16666666663</v>
      </c>
      <c r="K93" s="1">
        <f t="shared" si="55"/>
        <v>77656.25</v>
      </c>
      <c r="L93" s="1">
        <f t="shared" si="55"/>
        <v>77656.25</v>
      </c>
      <c r="M93" s="1">
        <f t="shared" si="55"/>
        <v>0</v>
      </c>
      <c r="N93" s="83">
        <f t="shared" si="51"/>
        <v>357916.66666666663</v>
      </c>
    </row>
    <row r="94" spans="2:15" x14ac:dyDescent="0.2">
      <c r="C94" s="11" t="s">
        <v>49</v>
      </c>
      <c r="D94" s="83"/>
      <c r="E94" s="1">
        <f t="shared" si="54"/>
        <v>109968.54166666669</v>
      </c>
      <c r="F94" s="1">
        <f t="shared" si="54"/>
        <v>56875</v>
      </c>
      <c r="G94" s="1">
        <f t="shared" si="54"/>
        <v>160416.66666666669</v>
      </c>
      <c r="H94" s="1">
        <f t="shared" si="54"/>
        <v>103541.66666666651</v>
      </c>
      <c r="I94" s="83">
        <f t="shared" si="50"/>
        <v>430801.87499999988</v>
      </c>
      <c r="J94" s="1">
        <f t="shared" si="55"/>
        <v>141822.91666666686</v>
      </c>
      <c r="K94" s="1">
        <f t="shared" si="55"/>
        <v>54359.375000000116</v>
      </c>
      <c r="L94" s="1">
        <f t="shared" si="55"/>
        <v>54359.375</v>
      </c>
      <c r="M94" s="1">
        <f t="shared" si="55"/>
        <v>0</v>
      </c>
      <c r="N94" s="83">
        <f t="shared" si="51"/>
        <v>250541.66666666698</v>
      </c>
    </row>
    <row r="95" spans="2:15" x14ac:dyDescent="0.2">
      <c r="C95" s="11" t="s">
        <v>50</v>
      </c>
      <c r="D95" s="83"/>
      <c r="E95" s="1">
        <f t="shared" si="54"/>
        <v>37703.5</v>
      </c>
      <c r="F95" s="1">
        <f t="shared" si="54"/>
        <v>19500</v>
      </c>
      <c r="G95" s="1">
        <f t="shared" si="54"/>
        <v>55000</v>
      </c>
      <c r="H95" s="1">
        <f t="shared" si="54"/>
        <v>35500</v>
      </c>
      <c r="I95" s="83">
        <f t="shared" si="50"/>
        <v>147703.5</v>
      </c>
      <c r="J95" s="1">
        <f t="shared" si="55"/>
        <v>48625</v>
      </c>
      <c r="K95" s="1">
        <f t="shared" si="55"/>
        <v>18637.5</v>
      </c>
      <c r="L95" s="1">
        <f t="shared" si="55"/>
        <v>18637.5</v>
      </c>
      <c r="M95" s="1">
        <f t="shared" si="55"/>
        <v>0</v>
      </c>
      <c r="N95" s="83">
        <f t="shared" si="51"/>
        <v>85900</v>
      </c>
    </row>
    <row r="96" spans="2:15" x14ac:dyDescent="0.2">
      <c r="C96" s="11" t="s">
        <v>51</v>
      </c>
      <c r="D96" s="83"/>
      <c r="E96" s="1">
        <f>E74-D74</f>
        <v>32521.000000000015</v>
      </c>
      <c r="F96" s="1">
        <f>F74-E74</f>
        <v>20312.500000000015</v>
      </c>
      <c r="G96" s="1">
        <f>G74-F74</f>
        <v>57291.666666666628</v>
      </c>
      <c r="H96" s="1">
        <f>H74-G74</f>
        <v>36979.166666666686</v>
      </c>
      <c r="I96" s="83">
        <f t="shared" si="50"/>
        <v>147104.33333333334</v>
      </c>
      <c r="J96" s="1">
        <f>J74-I74</f>
        <v>50651.041666666715</v>
      </c>
      <c r="K96" s="1">
        <f>K74-J74</f>
        <v>19414.0625</v>
      </c>
      <c r="L96" s="1">
        <f>L74-K74</f>
        <v>19414.062499999942</v>
      </c>
      <c r="M96" s="1">
        <f>M74-L74</f>
        <v>0</v>
      </c>
      <c r="N96" s="83">
        <f t="shared" si="51"/>
        <v>89479.166666666657</v>
      </c>
    </row>
    <row r="97" spans="3:14" x14ac:dyDescent="0.2">
      <c r="C97" s="11" t="s">
        <v>52</v>
      </c>
      <c r="D97" s="83"/>
      <c r="E97" s="1">
        <f t="shared" ref="E97:H98" si="56">E76-D76</f>
        <v>14189</v>
      </c>
      <c r="F97" s="1">
        <f t="shared" si="56"/>
        <v>12187.5</v>
      </c>
      <c r="G97" s="1">
        <f t="shared" si="56"/>
        <v>34375</v>
      </c>
      <c r="H97" s="1">
        <f t="shared" si="56"/>
        <v>22187.5</v>
      </c>
      <c r="I97" s="83">
        <f t="shared" si="50"/>
        <v>82939</v>
      </c>
      <c r="J97" s="1">
        <f t="shared" ref="J97:M98" si="57">J76-I76</f>
        <v>30390.625</v>
      </c>
      <c r="K97" s="1">
        <f t="shared" si="57"/>
        <v>11648.4375</v>
      </c>
      <c r="L97" s="1">
        <f t="shared" si="57"/>
        <v>11648.4375</v>
      </c>
      <c r="M97" s="1">
        <f t="shared" si="57"/>
        <v>0</v>
      </c>
      <c r="N97" s="83">
        <f t="shared" si="51"/>
        <v>53687.5</v>
      </c>
    </row>
    <row r="98" spans="3:14" x14ac:dyDescent="0.2">
      <c r="C98" s="11" t="s">
        <v>53</v>
      </c>
      <c r="D98" s="83"/>
      <c r="E98" s="1">
        <f t="shared" si="56"/>
        <v>37308</v>
      </c>
      <c r="F98" s="1">
        <f t="shared" si="56"/>
        <v>24375</v>
      </c>
      <c r="G98" s="1">
        <f t="shared" si="56"/>
        <v>68750</v>
      </c>
      <c r="H98" s="1">
        <f t="shared" si="56"/>
        <v>44375</v>
      </c>
      <c r="I98" s="83">
        <f t="shared" si="50"/>
        <v>174808</v>
      </c>
      <c r="J98" s="1">
        <f t="shared" si="57"/>
        <v>60781.25</v>
      </c>
      <c r="K98" s="1">
        <f t="shared" si="57"/>
        <v>23296.875</v>
      </c>
      <c r="L98" s="1">
        <f t="shared" si="57"/>
        <v>23296.875</v>
      </c>
      <c r="M98" s="1">
        <f t="shared" si="57"/>
        <v>0</v>
      </c>
      <c r="N98" s="83">
        <f t="shared" si="51"/>
        <v>107375</v>
      </c>
    </row>
    <row r="99" spans="3:14" x14ac:dyDescent="0.2">
      <c r="C99" s="10" t="s">
        <v>54</v>
      </c>
      <c r="D99" s="90"/>
      <c r="E99" s="8">
        <f>E90+E91-E92-E93-E94-E95+E96+E97+E98</f>
        <v>-222776.37782051292</v>
      </c>
      <c r="F99" s="8">
        <f>F90+F91-F92-F93-F94-F95+F96+F97+F98</f>
        <v>-130879.35146153852</v>
      </c>
      <c r="G99" s="8">
        <f>G90+G91-G92-G93-G94-G95+G96+G97+G98</f>
        <v>-298222.04709358991</v>
      </c>
      <c r="H99" s="8">
        <f>H90+H91-H92-H93-H94-H95+H96+H97+H98</f>
        <v>-209839.80345685891</v>
      </c>
      <c r="I99" s="90">
        <f t="shared" si="50"/>
        <v>-861717.57983250031</v>
      </c>
      <c r="J99" s="8">
        <f>J90+J91-J92-J93-J94-J95+J96+J97+J98</f>
        <v>133638.53953649648</v>
      </c>
      <c r="K99" s="8">
        <f>K90+K91-K92-K93-K94-K95+K96+K97+K98</f>
        <v>475906.01906608196</v>
      </c>
      <c r="L99" s="8">
        <f>L90+L91-L92-L93-L94-L95+L96+L97+L98</f>
        <v>569547.463160855</v>
      </c>
      <c r="M99" s="8">
        <f>M90+M91-M92-M93-M94-M95+M96+M97+M98</f>
        <v>462668.4937047353</v>
      </c>
      <c r="N99" s="90">
        <f t="shared" si="51"/>
        <v>1641760.5154681688</v>
      </c>
    </row>
    <row r="100" spans="3:14" x14ac:dyDescent="0.2">
      <c r="C100" s="11" t="s">
        <v>55</v>
      </c>
      <c r="D100" s="83"/>
      <c r="E100" s="1">
        <f>E49*$D$33+(E9-D9)*$D$34</f>
        <v>39250</v>
      </c>
      <c r="F100" s="1">
        <f>F47*$D$33+(F9-E9)*$D$34</f>
        <v>78000</v>
      </c>
      <c r="G100" s="1">
        <f>G47*$D$33+(G9-F9)*$D$34</f>
        <v>75000</v>
      </c>
      <c r="H100" s="1">
        <f>H47*$D$33+(H9-G9)*$D$34</f>
        <v>58000</v>
      </c>
      <c r="I100" s="83">
        <f t="shared" si="50"/>
        <v>250250</v>
      </c>
      <c r="J100" s="1">
        <f>J47*$D$33+(J9-I9)*$D$34</f>
        <v>58800</v>
      </c>
      <c r="K100" s="1">
        <f>K47*$D$33+(K9-J9)*$D$34</f>
        <v>63000</v>
      </c>
      <c r="L100" s="1">
        <f>L47*$D$33+(L9-K9)*$D$34</f>
        <v>67200</v>
      </c>
      <c r="M100" s="1">
        <f>M47*$D$33+(M9-L9)*$D$34</f>
        <v>67200</v>
      </c>
      <c r="N100" s="83">
        <f t="shared" si="51"/>
        <v>256200</v>
      </c>
    </row>
    <row r="101" spans="3:14" x14ac:dyDescent="0.2">
      <c r="C101" s="10" t="s">
        <v>56</v>
      </c>
      <c r="D101" s="90"/>
      <c r="E101" s="8">
        <f>E99-E100</f>
        <v>-262026.37782051292</v>
      </c>
      <c r="F101" s="8">
        <f>F99-F100</f>
        <v>-208879.35146153852</v>
      </c>
      <c r="G101" s="8">
        <f>G99-G100</f>
        <v>-373222.04709358991</v>
      </c>
      <c r="H101" s="8">
        <f>H99-H100</f>
        <v>-267839.80345685891</v>
      </c>
      <c r="I101" s="90">
        <f t="shared" si="50"/>
        <v>-1111967.5798325003</v>
      </c>
      <c r="J101" s="8">
        <f>J99-J100</f>
        <v>74838.539536496479</v>
      </c>
      <c r="K101" s="8">
        <f>K99-K100</f>
        <v>412906.01906608196</v>
      </c>
      <c r="L101" s="8">
        <f>L99-L100</f>
        <v>502347.463160855</v>
      </c>
      <c r="M101" s="8">
        <f>M99-M100</f>
        <v>395468.4937047353</v>
      </c>
      <c r="N101" s="90">
        <f t="shared" si="51"/>
        <v>1385560.5154681688</v>
      </c>
    </row>
    <row r="102" spans="3:14" x14ac:dyDescent="0.2">
      <c r="C102" s="11" t="s">
        <v>57</v>
      </c>
      <c r="D102" s="83"/>
      <c r="E102" s="1">
        <f>E89</f>
        <v>0</v>
      </c>
      <c r="F102" s="1">
        <f>F89</f>
        <v>0</v>
      </c>
      <c r="G102" s="1">
        <f>G89</f>
        <v>0</v>
      </c>
      <c r="H102" s="1">
        <f>H89</f>
        <v>0</v>
      </c>
      <c r="I102" s="83">
        <f t="shared" si="50"/>
        <v>0</v>
      </c>
      <c r="J102" s="1">
        <f>J89</f>
        <v>0</v>
      </c>
      <c r="K102" s="1">
        <f>K89</f>
        <v>0</v>
      </c>
      <c r="L102" s="1">
        <f>L89</f>
        <v>0</v>
      </c>
      <c r="M102" s="1">
        <f>M89</f>
        <v>0</v>
      </c>
      <c r="N102" s="83">
        <f t="shared" si="51"/>
        <v>0</v>
      </c>
    </row>
    <row r="103" spans="3:14" x14ac:dyDescent="0.2">
      <c r="C103" s="11" t="s">
        <v>58</v>
      </c>
      <c r="D103" s="83"/>
      <c r="E103" s="1">
        <f>E75-D75</f>
        <v>0</v>
      </c>
      <c r="F103" s="1">
        <f>F75-E75</f>
        <v>0</v>
      </c>
      <c r="G103" s="1">
        <f>G75-F75</f>
        <v>0</v>
      </c>
      <c r="H103" s="1">
        <f>H75-G75</f>
        <v>0</v>
      </c>
      <c r="I103" s="83">
        <f t="shared" si="50"/>
        <v>0</v>
      </c>
      <c r="J103" s="1">
        <f>J75-I75</f>
        <v>0</v>
      </c>
      <c r="K103" s="1">
        <f>K75-J75</f>
        <v>0</v>
      </c>
      <c r="L103" s="1">
        <f>L75-K75</f>
        <v>0</v>
      </c>
      <c r="M103" s="1">
        <f>M75-L75</f>
        <v>0</v>
      </c>
      <c r="N103" s="83">
        <f t="shared" si="51"/>
        <v>0</v>
      </c>
    </row>
    <row r="104" spans="3:14" x14ac:dyDescent="0.2">
      <c r="C104" s="10" t="s">
        <v>59</v>
      </c>
      <c r="D104" s="90"/>
      <c r="E104" s="8">
        <f>E101-E102+E103</f>
        <v>-262026.37782051292</v>
      </c>
      <c r="F104" s="8">
        <f>F101-F102+F103</f>
        <v>-208879.35146153852</v>
      </c>
      <c r="G104" s="8">
        <f>G101-G102+G103</f>
        <v>-373222.04709358991</v>
      </c>
      <c r="H104" s="8">
        <f>H101-H102+H103</f>
        <v>-267839.80345685891</v>
      </c>
      <c r="I104" s="90">
        <f t="shared" si="50"/>
        <v>-1111967.5798325003</v>
      </c>
      <c r="J104" s="8">
        <f>J101-J102+J103</f>
        <v>74838.539536496479</v>
      </c>
      <c r="K104" s="8">
        <f>K101-K102+K103</f>
        <v>412906.01906608196</v>
      </c>
      <c r="L104" s="8">
        <f>L101-L102+L103</f>
        <v>502347.463160855</v>
      </c>
      <c r="M104" s="8">
        <f>M101-M102+M103</f>
        <v>395468.4937047353</v>
      </c>
      <c r="N104" s="90">
        <f t="shared" si="51"/>
        <v>1385560.5154681688</v>
      </c>
    </row>
    <row r="105" spans="3:14" x14ac:dyDescent="0.2">
      <c r="C105" s="11" t="s">
        <v>101</v>
      </c>
      <c r="D105" s="83"/>
      <c r="E105" s="1">
        <v>0</v>
      </c>
      <c r="F105" s="1">
        <v>0</v>
      </c>
      <c r="G105" s="1">
        <v>0</v>
      </c>
      <c r="H105" s="1">
        <v>0</v>
      </c>
      <c r="I105" s="83">
        <f>SUM(E105:H105)</f>
        <v>0</v>
      </c>
      <c r="J105" s="1">
        <v>0</v>
      </c>
      <c r="K105" s="1">
        <v>0</v>
      </c>
      <c r="L105" s="1">
        <v>0</v>
      </c>
      <c r="M105" s="1">
        <v>0</v>
      </c>
      <c r="N105" s="83">
        <f>SUM(J105:M105)</f>
        <v>0</v>
      </c>
    </row>
    <row r="106" spans="3:14" x14ac:dyDescent="0.2">
      <c r="C106" s="10" t="s">
        <v>60</v>
      </c>
      <c r="D106" s="90"/>
      <c r="E106" s="8">
        <f>E104-E105</f>
        <v>-262026.37782051292</v>
      </c>
      <c r="F106" s="8">
        <f>F104-F105</f>
        <v>-208879.35146153852</v>
      </c>
      <c r="G106" s="8">
        <f>G104-G105</f>
        <v>-373222.04709358991</v>
      </c>
      <c r="H106" s="8">
        <f>H104-H105</f>
        <v>-267839.80345685891</v>
      </c>
      <c r="I106" s="90">
        <f t="shared" si="50"/>
        <v>-1111967.5798325003</v>
      </c>
      <c r="J106" s="8">
        <f>J104-J105</f>
        <v>74838.539536496479</v>
      </c>
      <c r="K106" s="8">
        <f>K104-K105</f>
        <v>412906.01906608196</v>
      </c>
      <c r="L106" s="8">
        <f>L104-L105</f>
        <v>502347.463160855</v>
      </c>
      <c r="M106" s="8">
        <f>M104-M105</f>
        <v>395468.4937047353</v>
      </c>
      <c r="N106" s="90">
        <f t="shared" si="51"/>
        <v>1385560.5154681688</v>
      </c>
    </row>
    <row r="109" spans="3:14" x14ac:dyDescent="0.2">
      <c r="H109" s="1"/>
    </row>
    <row r="112" spans="3:14" x14ac:dyDescent="0.2">
      <c r="C112" s="3" t="s">
        <v>106</v>
      </c>
      <c r="D112" s="82">
        <v>2020</v>
      </c>
      <c r="E112" s="14" t="s">
        <v>14</v>
      </c>
      <c r="F112" s="14" t="s">
        <v>15</v>
      </c>
      <c r="G112" s="14" t="s">
        <v>16</v>
      </c>
      <c r="H112" s="14" t="s">
        <v>17</v>
      </c>
      <c r="I112" s="82" t="s">
        <v>23</v>
      </c>
      <c r="J112" s="14" t="s">
        <v>18</v>
      </c>
      <c r="K112" s="14" t="s">
        <v>19</v>
      </c>
      <c r="L112" s="14" t="s">
        <v>20</v>
      </c>
      <c r="M112" s="14" t="s">
        <v>21</v>
      </c>
      <c r="N112" s="82" t="s">
        <v>27</v>
      </c>
    </row>
    <row r="113" spans="3:14" x14ac:dyDescent="0.2">
      <c r="C113" t="s">
        <v>102</v>
      </c>
      <c r="D113" s="83">
        <v>296547</v>
      </c>
      <c r="E113" s="19">
        <v>34520.62217948708</v>
      </c>
      <c r="F113" s="19">
        <v>-174358.72928205144</v>
      </c>
      <c r="G113" s="19">
        <v>-547580.77637564135</v>
      </c>
      <c r="H113" s="19">
        <v>-815420.57983250031</v>
      </c>
      <c r="I113" s="85">
        <v>-815420.57983250031</v>
      </c>
      <c r="J113" s="19">
        <v>-740582.0402960038</v>
      </c>
      <c r="K113" s="19">
        <v>-327676.02122992184</v>
      </c>
      <c r="L113" s="19">
        <v>174671.44193093316</v>
      </c>
      <c r="M113" s="19">
        <v>570139.93563566846</v>
      </c>
      <c r="N113" s="87">
        <v>570139.93563566846</v>
      </c>
    </row>
    <row r="114" spans="3:14" x14ac:dyDescent="0.2">
      <c r="C114" t="s">
        <v>103</v>
      </c>
      <c r="D114" s="83">
        <v>296547</v>
      </c>
      <c r="E114" s="19">
        <v>10759.024957265123</v>
      </c>
      <c r="F114" s="19">
        <v>-227316.1598376066</v>
      </c>
      <c r="G114" s="19">
        <v>-644185.4291534184</v>
      </c>
      <c r="H114" s="19">
        <v>-960876.62149916624</v>
      </c>
      <c r="I114" s="85">
        <v>-960876.62149916624</v>
      </c>
      <c r="J114" s="19">
        <v>-945890.51251822477</v>
      </c>
      <c r="K114" s="19">
        <v>-593648.97261880944</v>
      </c>
      <c r="L114" s="19">
        <v>-155693.48862462089</v>
      </c>
      <c r="M114" s="19">
        <v>177195.00508011441</v>
      </c>
      <c r="N114" s="87">
        <v>177195.00508011441</v>
      </c>
    </row>
    <row r="115" spans="3:14" x14ac:dyDescent="0.2">
      <c r="C115" t="s">
        <v>104</v>
      </c>
      <c r="D115" s="83">
        <v>296547</v>
      </c>
      <c r="E115" s="19">
        <v>76990.622179487254</v>
      </c>
      <c r="F115" s="19">
        <v>-181868.89594871807</v>
      </c>
      <c r="G115" s="19">
        <v>-600451.26804230793</v>
      </c>
      <c r="H115" s="19">
        <v>-949289.21358250012</v>
      </c>
      <c r="I115" s="85">
        <v>-949289.21358250012</v>
      </c>
      <c r="J115" s="19">
        <v>-969555.74235850363</v>
      </c>
      <c r="K115" s="19">
        <v>-689159.53818929673</v>
      </c>
      <c r="L115" s="19">
        <v>-329366.02418047329</v>
      </c>
      <c r="M115" s="19">
        <v>-93929.657170167775</v>
      </c>
      <c r="N115" s="87">
        <v>-93929.657170167775</v>
      </c>
    </row>
    <row r="116" spans="3:14" x14ac:dyDescent="0.2">
      <c r="C116" t="s">
        <v>105</v>
      </c>
      <c r="D116" s="84">
        <v>296547</v>
      </c>
      <c r="E116" s="81">
        <v>56795.691623931751</v>
      </c>
      <c r="F116" s="81">
        <v>-228265.21539316227</v>
      </c>
      <c r="G116" s="81">
        <v>-685911.47637564107</v>
      </c>
      <c r="H116" s="81">
        <v>-1078411.9219158331</v>
      </c>
      <c r="I116" s="86">
        <v>-1078411.9219158331</v>
      </c>
      <c r="J116" s="81">
        <v>-1152125.8812473917</v>
      </c>
      <c r="K116" s="81">
        <v>-925889.98957818444</v>
      </c>
      <c r="L116" s="81">
        <v>-623564.28806936077</v>
      </c>
      <c r="M116" s="81">
        <v>-443987.9210590549</v>
      </c>
      <c r="N116" s="88">
        <v>-443987.9210590549</v>
      </c>
    </row>
  </sheetData>
  <mergeCells count="26">
    <mergeCell ref="F30:H30"/>
    <mergeCell ref="F37:H37"/>
    <mergeCell ref="F38:H38"/>
    <mergeCell ref="F39:H39"/>
    <mergeCell ref="F40:H40"/>
    <mergeCell ref="F31:H31"/>
    <mergeCell ref="F32:H32"/>
    <mergeCell ref="F33:H33"/>
    <mergeCell ref="F34:H34"/>
    <mergeCell ref="F35:H35"/>
    <mergeCell ref="B85:O85"/>
    <mergeCell ref="B3:O3"/>
    <mergeCell ref="B44:O44"/>
    <mergeCell ref="B63:O63"/>
    <mergeCell ref="F14:H14"/>
    <mergeCell ref="F15:H15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9:H29"/>
  </mergeCells>
  <pageMargins left="0.7" right="0.7" top="0.75" bottom="0.75" header="0.3" footer="0.3"/>
  <pageSetup orientation="portrait" horizontalDpi="0" verticalDpi="0"/>
  <ignoredErrors>
    <ignoredError sqref="I47:I50 I88:I90 I66:I82 N78 I91:I99 I100 I101 I102:I103 I104 I105 I106 I52:I60" formula="1"/>
    <ignoredError sqref="D9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Finanzplan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Urs Wälchli</dc:creator>
  <cp:keywords/>
  <dc:description/>
  <cp:lastModifiedBy>Urs Wälchli</cp:lastModifiedBy>
  <cp:lastPrinted>2020-11-18T08:05:39Z</cp:lastPrinted>
  <dcterms:created xsi:type="dcterms:W3CDTF">2020-11-12T08:53:23Z</dcterms:created>
  <dcterms:modified xsi:type="dcterms:W3CDTF">2021-06-04T08:27:09Z</dcterms:modified>
  <cp:category/>
</cp:coreProperties>
</file>